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5.xml" ContentType="application/vnd.openxmlformats-officedocument.spreadsheetml.comments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uturebuilt2.sharepoint.com/sites/FBuilt/Delte dokumenter/04. Kriterier og verktøy/01_Kriterier 2.0/01 FutureBuilt ZERO-B/V3.0 2023/Verktøy/"/>
    </mc:Choice>
  </mc:AlternateContent>
  <xr:revisionPtr revIDLastSave="0" documentId="8_{0BDA5A56-FF7A-4506-BEF2-09FE3173B568}" xr6:coauthVersionLast="47" xr6:coauthVersionMax="47" xr10:uidLastSave="{00000000-0000-0000-0000-000000000000}"/>
  <workbookProtection workbookAlgorithmName="SHA-512" workbookHashValue="yffux6POwzLRR9mKCrBM4PZ6klxjs+ON9sj+JBgm/FFaDDfMs3nGpmGvoBpo8sFseUzfLCwR/d2wlcKnj+7MZQ==" workbookSaltValue="hZ2Dy1vWpsU4Q67MbNRs9A==" workbookSpinCount="100000" lockStructure="1"/>
  <bookViews>
    <workbookView xWindow="0" yWindow="740" windowWidth="29400" windowHeight="17140" tabRatio="847" firstSheet="1" activeTab="1" xr2:uid="{00000000-000D-0000-FFFF-FFFF00000000}"/>
  </bookViews>
  <sheets>
    <sheet name="status" sheetId="19" r:id="rId1"/>
    <sheet name="Om verktøyet" sheetId="11" r:id="rId2"/>
    <sheet name="ZERO-B Beregning" sheetId="2" r:id="rId3"/>
    <sheet name="ZERO-B Resultat" sheetId="27" r:id="rId4"/>
    <sheet name="Inndata Bygg" sheetId="1" r:id="rId5"/>
    <sheet name="Resultater detaljert Bygg" sheetId="3" r:id="rId6"/>
    <sheet name="Resultater oppsummert Bygg" sheetId="6" r:id="rId7"/>
    <sheet name="Tillegg- Inndata GoF" sheetId="25" r:id="rId8"/>
    <sheet name="Tillegg- Res. detaljert GoF" sheetId="26" r:id="rId9"/>
    <sheet name="Tillegg- Inndata Øvrige" sheetId="28" r:id="rId10"/>
    <sheet name="Tillegg- Res. Det. Øvrige" sheetId="30" r:id="rId11"/>
    <sheet name="Rapportering" sheetId="20" r:id="rId12"/>
    <sheet name="Verdier kravsnivå" sheetId="12" r:id="rId13"/>
    <sheet name="Faktorer" sheetId="23" r:id="rId14"/>
    <sheet name="Fundament underlag" sheetId="24" r:id="rId15"/>
    <sheet name="Lister og verdier" sheetId="13" r:id="rId16"/>
  </sheets>
  <definedNames>
    <definedName name="Beregningsperiode">'ZERO-B Beregning'!$D$17</definedName>
    <definedName name="BRA_total">'ZERO-B Beregning'!$G$25</definedName>
    <definedName name="BTA_total">'ZERO-B Beregning'!$P$60</definedName>
    <definedName name="BYA_total">'ZERO-B Beregning'!$P$61</definedName>
    <definedName name="Dybde_til_fjell">'ZERO-B Beregning'!$P$62</definedName>
    <definedName name="f_tid_f_tek_år0">1</definedName>
    <definedName name="f_tid_x_f_tek_d_0_01">Faktorer!$O$7:$O$58</definedName>
    <definedName name="f_tid_x_f_tek_d_0_01_kumulativ">Faktorer!$V$7:$V$58</definedName>
    <definedName name="f_tid_x_f_tek_d_0_037">Faktorer!$P$7:$P$58</definedName>
    <definedName name="f_tid_x_f_tek_d_0_037_kumulativ">Faktorer!$Y$7:$Y$58</definedName>
    <definedName name="f_tid_x_f_tek_f_fb_d_0_01">Faktorer!$AA$7:$AA$58</definedName>
    <definedName name="f_tid_x_f_tek_f_fb_d_0_01_kumulativ">Faktorer!$AE$7:$AE$58</definedName>
    <definedName name="f_tid_x_f_tek_f_fb_d_0_037">Faktorer!$AB$7:$AB$58</definedName>
    <definedName name="f_tid_x_f_tek_f_fb_d_0_037_kumulativ">Faktorer!$AH$7:$AH$58</definedName>
    <definedName name="Ferdigstillelsesår">'ZERO-B Beregning'!$D$16</definedName>
    <definedName name="Fundament_BTA_faktor">'Fundament underlag'!$D$7:$D$10</definedName>
    <definedName name="Fundament_fotavtrykk_faktor">'Fundament underlag'!$E$7:$E$10</definedName>
    <definedName name="Fundament_konstant_faktor">'Fundament underlag'!$C$7:$C$10</definedName>
    <definedName name="Fundament_kravfaktor">'Fundament underlag'!$H$7:$H$37</definedName>
    <definedName name="Fundament_type">'ZERO-B Beregning'!$P$59</definedName>
    <definedName name="Fundament_typer">'Fundament underlag'!$B$7:$B$10</definedName>
    <definedName name="Ja_Nei">'Lister og verdier'!$K$29:$K$30</definedName>
    <definedName name="karbon_opptak_faktor">Faktorer!$AO$7:$AO$58</definedName>
    <definedName name="Spunt">'ZERO-B Beregning'!$P$68</definedName>
    <definedName name="sum_e__0_03_t_tau">Faktorer!$AL$7:$AL$58</definedName>
    <definedName name="TEST">Faktorer!$H$11</definedName>
    <definedName name="Transport_avstand_til_avfallshåndtering">Faktorer!$C$10</definedName>
    <definedName name="Transport_avstand_til_avfallshåndtering_prosjekt_spesifik">'ZERO-B Beregning'!$F$113</definedName>
    <definedName name="Transport_utslipp_til_avfallshånderting_per_kg">Faktorer!$C$12</definedName>
    <definedName name="Transport_utslippsfaktor_til_avfallshåndtering">Faktorer!$C$11</definedName>
    <definedName name="Transport_utslippsfaktor_til_avfallshåndtering_prosjekt_spesifik">'ZERO-B Beregning'!$F$114</definedName>
    <definedName name="Utslippsfaktorer_elektrisitet_gitt_år">Faktorer!$E$20:$E$30</definedName>
    <definedName name="Utslippsfaktorer_elektrisitet_snitt">Faktorer!$C$20:$C$30</definedName>
    <definedName name="Utslippsfaktorer_fjernvarme_avfall_gitt_år">Faktorer!$F$20:$F$30</definedName>
    <definedName name="Utslippsfaktorer_fjernvarme_avfall_snitt">Faktorer!$D$20:$D$30</definedName>
    <definedName name="År">Faktorer!$B$20:$B$30</definedName>
    <definedName name="År_etter_ferdigstillelse">Faktorer!$K$7:$K$58</definedName>
    <definedName name="År_etter_ferdigstillelse_H">Faktorer!$AT$6:$CR$6</definedName>
    <definedName name="År_etter_ferdigstillelse_YN">Faktorer!$AT$7:$CR$58</definedName>
    <definedName name="År_fundament_kravfaktorer">'Fundament underlag'!$G$7:$G$37</definedName>
  </definedNames>
  <calcPr calcId="191028"/>
  <pivotCaches>
    <pivotCache cacheId="827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2" l="1"/>
  <c r="E43" i="2"/>
  <c r="E42" i="2"/>
  <c r="F12" i="3"/>
  <c r="AI158" i="3"/>
  <c r="AH158" i="3"/>
  <c r="AG158" i="3"/>
  <c r="AD158" i="3"/>
  <c r="AC158" i="3"/>
  <c r="AB158" i="3" a="1"/>
  <c r="AB158" i="3"/>
  <c r="W158" i="3" a="1"/>
  <c r="W158" i="3"/>
  <c r="U158" i="3"/>
  <c r="T158" i="3"/>
  <c r="S158" i="3"/>
  <c r="P158" i="3"/>
  <c r="O158" i="3"/>
  <c r="N158" i="3"/>
  <c r="AL158" i="3" s="1"/>
  <c r="L158" i="3"/>
  <c r="J158" i="3"/>
  <c r="I158" i="3"/>
  <c r="H158" i="3"/>
  <c r="G158" i="3"/>
  <c r="M158" i="3" s="1"/>
  <c r="F158" i="3"/>
  <c r="D158" i="3"/>
  <c r="C158" i="3"/>
  <c r="B158" i="3"/>
  <c r="AI157" i="3"/>
  <c r="AH157" i="3"/>
  <c r="AG157" i="3"/>
  <c r="V158" i="3" a="1"/>
  <c r="AE158" i="3" a="1"/>
  <c r="AF158" i="3" a="1"/>
  <c r="AF158" i="3" l="1"/>
  <c r="AE158" i="3"/>
  <c r="V158" i="3"/>
  <c r="K158" i="3"/>
  <c r="R158" i="3" s="1"/>
  <c r="Q158" i="3"/>
  <c r="AM158" i="3"/>
  <c r="AK158" i="3"/>
  <c r="X158" i="3" a="1"/>
  <c r="X158" i="3" s="1"/>
  <c r="AA158" i="3" l="1"/>
  <c r="Z158" i="3"/>
  <c r="Y158" i="3"/>
  <c r="E158" i="3" s="1" a="1"/>
  <c r="E158" i="3" s="1"/>
  <c r="AD157" i="3"/>
  <c r="AC157" i="3"/>
  <c r="AB157" i="3" a="1"/>
  <c r="AB157" i="3"/>
  <c r="W157" i="3" a="1"/>
  <c r="W157" i="3"/>
  <c r="U157" i="3"/>
  <c r="T157" i="3"/>
  <c r="S157" i="3"/>
  <c r="P157" i="3"/>
  <c r="O157" i="3"/>
  <c r="N157" i="3"/>
  <c r="AL157" i="3" s="1"/>
  <c r="L157" i="3"/>
  <c r="J157" i="3"/>
  <c r="I157" i="3"/>
  <c r="H157" i="3"/>
  <c r="G157" i="3"/>
  <c r="F157" i="3"/>
  <c r="D157" i="3"/>
  <c r="C157" i="3"/>
  <c r="B157" i="3"/>
  <c r="AI156" i="3"/>
  <c r="AH156" i="3"/>
  <c r="AG156" i="3"/>
  <c r="V157" i="3" a="1"/>
  <c r="AE157" i="3" a="1"/>
  <c r="AF157" i="3" a="1"/>
  <c r="AF157" i="3" l="1"/>
  <c r="AE157" i="3"/>
  <c r="V157" i="3"/>
  <c r="Q157" i="3"/>
  <c r="K157" i="3"/>
  <c r="M157" i="3"/>
  <c r="AK157" i="3"/>
  <c r="AM157" i="3"/>
  <c r="X157" i="3" a="1"/>
  <c r="X157" i="3" s="1"/>
  <c r="R157" i="3" l="1"/>
  <c r="AA157" i="3"/>
  <c r="Y157" i="3"/>
  <c r="Z157" i="3"/>
  <c r="E157" i="3" a="1"/>
  <c r="E157" i="3" s="1"/>
  <c r="AD156" i="3"/>
  <c r="AC156" i="3"/>
  <c r="AB156" i="3" a="1"/>
  <c r="AB156" i="3"/>
  <c r="W156" i="3" a="1"/>
  <c r="W156" i="3"/>
  <c r="U156" i="3"/>
  <c r="T156" i="3"/>
  <c r="S156" i="3"/>
  <c r="P156" i="3"/>
  <c r="O156" i="3"/>
  <c r="N156" i="3"/>
  <c r="AL156" i="3" s="1"/>
  <c r="L156" i="3"/>
  <c r="J156" i="3"/>
  <c r="I156" i="3"/>
  <c r="H156" i="3"/>
  <c r="G156" i="3"/>
  <c r="M156" i="3" s="1"/>
  <c r="F156" i="3"/>
  <c r="D156" i="3"/>
  <c r="C156" i="3"/>
  <c r="B156" i="3"/>
  <c r="AI155" i="3"/>
  <c r="AH155" i="3"/>
  <c r="AG155" i="3"/>
  <c r="V156" i="3" a="1"/>
  <c r="AE156" i="3" a="1"/>
  <c r="AF156" i="3" a="1"/>
  <c r="AF156" i="3" l="1"/>
  <c r="AE156" i="3"/>
  <c r="V156" i="3"/>
  <c r="Q156" i="3"/>
  <c r="K156" i="3"/>
  <c r="R156" i="3" s="1"/>
  <c r="AK156" i="3"/>
  <c r="AM156" i="3"/>
  <c r="X156" i="3" a="1"/>
  <c r="X156" i="3" s="1"/>
  <c r="AA156" i="3" l="1"/>
  <c r="Z156" i="3"/>
  <c r="Y156" i="3"/>
  <c r="E156" i="3" s="1" a="1"/>
  <c r="E156" i="3" s="1"/>
  <c r="AD155" i="3"/>
  <c r="AC155" i="3"/>
  <c r="AB155" i="3" a="1"/>
  <c r="AB155" i="3"/>
  <c r="W155" i="3" a="1"/>
  <c r="W155" i="3"/>
  <c r="U155" i="3"/>
  <c r="T155" i="3"/>
  <c r="S155" i="3"/>
  <c r="P155" i="3"/>
  <c r="O155" i="3"/>
  <c r="N155" i="3"/>
  <c r="AL155" i="3" s="1"/>
  <c r="L155" i="3"/>
  <c r="J155" i="3"/>
  <c r="I155" i="3"/>
  <c r="H155" i="3"/>
  <c r="G155" i="3"/>
  <c r="F155" i="3"/>
  <c r="D155" i="3"/>
  <c r="C155" i="3"/>
  <c r="B155" i="3"/>
  <c r="AI154" i="3"/>
  <c r="AH154" i="3"/>
  <c r="AG154" i="3"/>
  <c r="V155" i="3" a="1"/>
  <c r="AE155" i="3" a="1"/>
  <c r="AF155" i="3" a="1"/>
  <c r="AF155" i="3" l="1"/>
  <c r="AE155" i="3"/>
  <c r="V155" i="3"/>
  <c r="Q155" i="3"/>
  <c r="K155" i="3"/>
  <c r="M155" i="3"/>
  <c r="AK155" i="3"/>
  <c r="AM155" i="3"/>
  <c r="X155" i="3" a="1"/>
  <c r="X155" i="3" s="1"/>
  <c r="R155" i="3" l="1"/>
  <c r="AA155" i="3"/>
  <c r="Z155" i="3"/>
  <c r="Y155" i="3"/>
  <c r="E155" i="3" a="1"/>
  <c r="E155" i="3" s="1"/>
  <c r="AD154" i="3"/>
  <c r="AC154" i="3"/>
  <c r="AB154" i="3" a="1"/>
  <c r="AB154" i="3"/>
  <c r="W154" i="3" a="1"/>
  <c r="W154" i="3"/>
  <c r="U154" i="3"/>
  <c r="T154" i="3"/>
  <c r="S154" i="3"/>
  <c r="P154" i="3"/>
  <c r="O154" i="3"/>
  <c r="N154" i="3"/>
  <c r="AL154" i="3" s="1"/>
  <c r="L154" i="3"/>
  <c r="J154" i="3"/>
  <c r="I154" i="3"/>
  <c r="H154" i="3"/>
  <c r="G154" i="3"/>
  <c r="M154" i="3" s="1"/>
  <c r="F154" i="3"/>
  <c r="D154" i="3"/>
  <c r="C154" i="3"/>
  <c r="B154" i="3"/>
  <c r="AI153" i="3"/>
  <c r="AH153" i="3"/>
  <c r="AG153" i="3"/>
  <c r="V154" i="3" a="1"/>
  <c r="AE154" i="3" a="1"/>
  <c r="AF154" i="3" a="1"/>
  <c r="AF154" i="3" l="1"/>
  <c r="AE154" i="3"/>
  <c r="V154" i="3"/>
  <c r="Q154" i="3"/>
  <c r="K154" i="3"/>
  <c r="R154" i="3" s="1"/>
  <c r="AK154" i="3"/>
  <c r="AM154" i="3"/>
  <c r="X154" i="3" a="1"/>
  <c r="X154" i="3" s="1"/>
  <c r="Z154" i="3" l="1"/>
  <c r="AA154" i="3"/>
  <c r="Y154" i="3"/>
  <c r="E154" i="3" s="1" a="1"/>
  <c r="E154" i="3" s="1"/>
  <c r="AD153" i="3"/>
  <c r="AC153" i="3"/>
  <c r="AB153" i="3" a="1"/>
  <c r="AB153" i="3"/>
  <c r="W153" i="3" a="1"/>
  <c r="W153" i="3"/>
  <c r="U153" i="3"/>
  <c r="T153" i="3"/>
  <c r="S153" i="3"/>
  <c r="P153" i="3"/>
  <c r="O153" i="3"/>
  <c r="N153" i="3"/>
  <c r="AL153" i="3" s="1"/>
  <c r="L153" i="3"/>
  <c r="J153" i="3"/>
  <c r="I153" i="3"/>
  <c r="H153" i="3"/>
  <c r="G153" i="3"/>
  <c r="F153" i="3"/>
  <c r="D153" i="3"/>
  <c r="C153" i="3"/>
  <c r="B153" i="3"/>
  <c r="AI152" i="3"/>
  <c r="AH152" i="3"/>
  <c r="AG152" i="3"/>
  <c r="V153" i="3" a="1"/>
  <c r="AE153" i="3" a="1"/>
  <c r="AF153" i="3" a="1"/>
  <c r="AF153" i="3" l="1"/>
  <c r="AE153" i="3"/>
  <c r="V153" i="3"/>
  <c r="Q153" i="3"/>
  <c r="K153" i="3"/>
  <c r="M153" i="3"/>
  <c r="AK153" i="3"/>
  <c r="AM153" i="3"/>
  <c r="X153" i="3" a="1"/>
  <c r="X153" i="3" s="1"/>
  <c r="R153" i="3" l="1"/>
  <c r="Z153" i="3"/>
  <c r="AA153" i="3"/>
  <c r="Y153" i="3"/>
  <c r="E153" i="3" a="1"/>
  <c r="E153" i="3" s="1"/>
  <c r="AD152" i="3"/>
  <c r="AC152" i="3"/>
  <c r="AB152" i="3" a="1"/>
  <c r="AB152" i="3"/>
  <c r="W152" i="3" a="1"/>
  <c r="W152" i="3"/>
  <c r="U152" i="3"/>
  <c r="T152" i="3"/>
  <c r="S152" i="3"/>
  <c r="Q152" i="3"/>
  <c r="P152" i="3"/>
  <c r="O152" i="3"/>
  <c r="N152" i="3"/>
  <c r="AL152" i="3" s="1"/>
  <c r="L152" i="3"/>
  <c r="J152" i="3"/>
  <c r="I152" i="3"/>
  <c r="K152" i="3" s="1"/>
  <c r="H152" i="3"/>
  <c r="G152" i="3"/>
  <c r="F152" i="3"/>
  <c r="D152" i="3"/>
  <c r="C152" i="3"/>
  <c r="B152" i="3"/>
  <c r="AI151" i="3"/>
  <c r="AH151" i="3"/>
  <c r="AG151" i="3"/>
  <c r="V152" i="3" a="1"/>
  <c r="AE152" i="3" a="1"/>
  <c r="AF152" i="3" a="1"/>
  <c r="AF152" i="3" l="1"/>
  <c r="AE152" i="3"/>
  <c r="V152" i="3"/>
  <c r="M152" i="3"/>
  <c r="AK152" i="3"/>
  <c r="AM152" i="3"/>
  <c r="X152" i="3" a="1"/>
  <c r="X152" i="3" s="1"/>
  <c r="R152" i="3" l="1"/>
  <c r="E152" i="3" s="1" a="1"/>
  <c r="E152" i="3" s="1"/>
  <c r="AA152" i="3"/>
  <c r="Z152" i="3"/>
  <c r="Y152" i="3"/>
  <c r="AD151" i="3"/>
  <c r="AC151" i="3"/>
  <c r="AB151" i="3" a="1"/>
  <c r="AB151" i="3"/>
  <c r="W151" i="3" a="1"/>
  <c r="W151" i="3"/>
  <c r="U151" i="3"/>
  <c r="T151" i="3"/>
  <c r="S151" i="3"/>
  <c r="Q151" i="3"/>
  <c r="P151" i="3"/>
  <c r="O151" i="3"/>
  <c r="N151" i="3"/>
  <c r="AL151" i="3" s="1"/>
  <c r="L151" i="3"/>
  <c r="J151" i="3"/>
  <c r="I151" i="3"/>
  <c r="H151" i="3"/>
  <c r="K151" i="3" s="1"/>
  <c r="G151" i="3"/>
  <c r="F151" i="3"/>
  <c r="D151" i="3"/>
  <c r="C151" i="3"/>
  <c r="B151" i="3"/>
  <c r="AI150" i="3"/>
  <c r="AH150" i="3"/>
  <c r="AG150" i="3"/>
  <c r="V151" i="3" a="1"/>
  <c r="AE151" i="3" a="1"/>
  <c r="AF151" i="3" a="1"/>
  <c r="AF151" i="3" l="1"/>
  <c r="AE151" i="3"/>
  <c r="V151" i="3"/>
  <c r="M151" i="3"/>
  <c r="AK151" i="3"/>
  <c r="AM151" i="3"/>
  <c r="X151" i="3" a="1"/>
  <c r="X151" i="3" s="1"/>
  <c r="R151" i="3" l="1"/>
  <c r="E151" i="3" s="1" a="1"/>
  <c r="E151" i="3" s="1"/>
  <c r="AA151" i="3"/>
  <c r="Z151" i="3"/>
  <c r="Y151" i="3"/>
  <c r="AD150" i="3"/>
  <c r="AC150" i="3"/>
  <c r="AB150" i="3" a="1"/>
  <c r="AB150" i="3"/>
  <c r="W150" i="3" a="1"/>
  <c r="W150" i="3"/>
  <c r="U150" i="3"/>
  <c r="T150" i="3"/>
  <c r="S150" i="3"/>
  <c r="P150" i="3"/>
  <c r="O150" i="3"/>
  <c r="N150" i="3"/>
  <c r="AL150" i="3" s="1"/>
  <c r="L150" i="3"/>
  <c r="J150" i="3"/>
  <c r="I150" i="3"/>
  <c r="H150" i="3"/>
  <c r="K150" i="3" s="1"/>
  <c r="G150" i="3"/>
  <c r="M150" i="3" s="1"/>
  <c r="F150" i="3"/>
  <c r="D150" i="3"/>
  <c r="C150" i="3"/>
  <c r="B150" i="3"/>
  <c r="AI149" i="3"/>
  <c r="AH149" i="3"/>
  <c r="AG149" i="3"/>
  <c r="V150" i="3" a="1"/>
  <c r="AE150" i="3" a="1"/>
  <c r="AF150" i="3" a="1"/>
  <c r="AF150" i="3" l="1"/>
  <c r="AE150" i="3"/>
  <c r="V150" i="3"/>
  <c r="R150" i="3"/>
  <c r="Q150" i="3"/>
  <c r="AK150" i="3"/>
  <c r="AM150" i="3"/>
  <c r="X150" i="3" a="1"/>
  <c r="X150" i="3" s="1"/>
  <c r="E150" i="3" l="1" a="1"/>
  <c r="E150" i="3" s="1"/>
  <c r="AA150" i="3"/>
  <c r="Z150" i="3"/>
  <c r="Y150" i="3"/>
  <c r="AD149" i="3"/>
  <c r="AC149" i="3"/>
  <c r="AB149" i="3" a="1"/>
  <c r="AB149" i="3"/>
  <c r="W149" i="3" a="1"/>
  <c r="W149" i="3"/>
  <c r="U149" i="3"/>
  <c r="T149" i="3"/>
  <c r="S149" i="3"/>
  <c r="P149" i="3"/>
  <c r="O149" i="3"/>
  <c r="N149" i="3"/>
  <c r="AL149" i="3" s="1"/>
  <c r="L149" i="3"/>
  <c r="J149" i="3"/>
  <c r="I149" i="3"/>
  <c r="H149" i="3"/>
  <c r="K149" i="3" s="1"/>
  <c r="G149" i="3"/>
  <c r="M149" i="3" s="1"/>
  <c r="F149" i="3"/>
  <c r="D149" i="3"/>
  <c r="C149" i="3"/>
  <c r="B149" i="3"/>
  <c r="AI148" i="3"/>
  <c r="AH148" i="3"/>
  <c r="AG148" i="3"/>
  <c r="V149" i="3" a="1"/>
  <c r="AE149" i="3" a="1"/>
  <c r="AF149" i="3" a="1"/>
  <c r="AF149" i="3" l="1"/>
  <c r="AE149" i="3"/>
  <c r="V149" i="3"/>
  <c r="R149" i="3"/>
  <c r="Q149" i="3"/>
  <c r="AK149" i="3"/>
  <c r="AM149" i="3"/>
  <c r="X149" i="3" a="1"/>
  <c r="X149" i="3" s="1"/>
  <c r="AA149" i="3" l="1"/>
  <c r="Z149" i="3"/>
  <c r="Y149" i="3"/>
  <c r="E149" i="3" s="1" a="1"/>
  <c r="E149" i="3" s="1"/>
  <c r="AD148" i="3"/>
  <c r="AC148" i="3"/>
  <c r="AB148" i="3" a="1"/>
  <c r="AB148" i="3"/>
  <c r="W148" i="3" a="1"/>
  <c r="W148" i="3"/>
  <c r="U148" i="3"/>
  <c r="T148" i="3"/>
  <c r="S148" i="3"/>
  <c r="P148" i="3"/>
  <c r="O148" i="3"/>
  <c r="N148" i="3"/>
  <c r="AL148" i="3" s="1"/>
  <c r="L148" i="3"/>
  <c r="J148" i="3"/>
  <c r="I148" i="3"/>
  <c r="H148" i="3"/>
  <c r="K148" i="3" s="1"/>
  <c r="G148" i="3"/>
  <c r="M148" i="3" s="1"/>
  <c r="F148" i="3"/>
  <c r="D148" i="3"/>
  <c r="C148" i="3"/>
  <c r="B148" i="3"/>
  <c r="AI147" i="3"/>
  <c r="AH147" i="3"/>
  <c r="AG147" i="3"/>
  <c r="V148" i="3" a="1"/>
  <c r="AE148" i="3" a="1"/>
  <c r="AF148" i="3" a="1"/>
  <c r="AF148" i="3" l="1"/>
  <c r="AE148" i="3"/>
  <c r="V148" i="3"/>
  <c r="R148" i="3"/>
  <c r="Q148" i="3"/>
  <c r="AK148" i="3"/>
  <c r="AM148" i="3"/>
  <c r="X148" i="3" a="1"/>
  <c r="X148" i="3" s="1"/>
  <c r="AA148" i="3" l="1"/>
  <c r="Z148" i="3"/>
  <c r="Y148" i="3"/>
  <c r="E148" i="3" s="1" a="1"/>
  <c r="E148" i="3" s="1"/>
  <c r="AD147" i="3"/>
  <c r="AC147" i="3"/>
  <c r="AB147" i="3" a="1"/>
  <c r="AB147" i="3"/>
  <c r="W147" i="3" a="1"/>
  <c r="W147" i="3"/>
  <c r="U147" i="3"/>
  <c r="T147" i="3"/>
  <c r="S147" i="3"/>
  <c r="Q147" i="3"/>
  <c r="P147" i="3"/>
  <c r="O147" i="3"/>
  <c r="N147" i="3"/>
  <c r="AL147" i="3" s="1"/>
  <c r="L147" i="3"/>
  <c r="J147" i="3"/>
  <c r="I147" i="3"/>
  <c r="H147" i="3"/>
  <c r="G147" i="3"/>
  <c r="M147" i="3" s="1"/>
  <c r="F147" i="3"/>
  <c r="D147" i="3"/>
  <c r="C147" i="3"/>
  <c r="B147" i="3"/>
  <c r="AI146" i="3"/>
  <c r="AH146" i="3"/>
  <c r="AG146" i="3"/>
  <c r="V147" i="3" a="1"/>
  <c r="AE147" i="3" a="1"/>
  <c r="AF147" i="3" a="1"/>
  <c r="AF147" i="3" l="1"/>
  <c r="AE147" i="3"/>
  <c r="V147" i="3"/>
  <c r="K147" i="3"/>
  <c r="R147" i="3" s="1"/>
  <c r="AK147" i="3"/>
  <c r="AM147" i="3"/>
  <c r="X147" i="3" a="1"/>
  <c r="X147" i="3" s="1"/>
  <c r="AA147" i="3" l="1"/>
  <c r="Z147" i="3"/>
  <c r="Y147" i="3"/>
  <c r="E147" i="3" s="1" a="1"/>
  <c r="E147" i="3" s="1"/>
  <c r="AD146" i="3"/>
  <c r="AC146" i="3"/>
  <c r="AB146" i="3" a="1"/>
  <c r="AB146" i="3"/>
  <c r="W146" i="3" a="1"/>
  <c r="W146" i="3"/>
  <c r="U146" i="3"/>
  <c r="T146" i="3"/>
  <c r="S146" i="3"/>
  <c r="P146" i="3"/>
  <c r="O146" i="3"/>
  <c r="N146" i="3"/>
  <c r="AL146" i="3" s="1"/>
  <c r="L146" i="3"/>
  <c r="J146" i="3"/>
  <c r="I146" i="3"/>
  <c r="H146" i="3"/>
  <c r="K146" i="3" s="1"/>
  <c r="G146" i="3"/>
  <c r="M146" i="3" s="1"/>
  <c r="F146" i="3"/>
  <c r="D146" i="3"/>
  <c r="C146" i="3"/>
  <c r="B146" i="3"/>
  <c r="AI145" i="3"/>
  <c r="AH145" i="3"/>
  <c r="AG145" i="3"/>
  <c r="V146" i="3" a="1"/>
  <c r="AE146" i="3" a="1"/>
  <c r="AF146" i="3" a="1"/>
  <c r="AF146" i="3" l="1"/>
  <c r="AE146" i="3"/>
  <c r="V146" i="3"/>
  <c r="R146" i="3"/>
  <c r="Q146" i="3"/>
  <c r="AK146" i="3"/>
  <c r="AM146" i="3"/>
  <c r="X146" i="3" a="1"/>
  <c r="X146" i="3" s="1"/>
  <c r="AA146" i="3" l="1"/>
  <c r="Z146" i="3"/>
  <c r="Y146" i="3"/>
  <c r="E146" i="3" s="1" a="1"/>
  <c r="E146" i="3" s="1"/>
  <c r="AD145" i="3"/>
  <c r="AC145" i="3"/>
  <c r="AB145" i="3" a="1"/>
  <c r="AB145" i="3"/>
  <c r="W145" i="3" a="1"/>
  <c r="W145" i="3"/>
  <c r="U145" i="3"/>
  <c r="T145" i="3"/>
  <c r="S145" i="3"/>
  <c r="P145" i="3"/>
  <c r="O145" i="3"/>
  <c r="N145" i="3"/>
  <c r="AL145" i="3" s="1"/>
  <c r="L145" i="3"/>
  <c r="J145" i="3"/>
  <c r="I145" i="3"/>
  <c r="H145" i="3"/>
  <c r="Q145" i="3" s="1"/>
  <c r="G145" i="3"/>
  <c r="M145" i="3" s="1"/>
  <c r="F145" i="3"/>
  <c r="D145" i="3"/>
  <c r="C145" i="3"/>
  <c r="B145" i="3"/>
  <c r="AI144" i="3"/>
  <c r="AH144" i="3"/>
  <c r="AG144" i="3"/>
  <c r="V145" i="3" a="1"/>
  <c r="AE145" i="3" a="1"/>
  <c r="AF145" i="3" a="1"/>
  <c r="AF145" i="3" l="1"/>
  <c r="AE145" i="3"/>
  <c r="V145" i="3"/>
  <c r="K145" i="3"/>
  <c r="R145" i="3" s="1"/>
  <c r="AK145" i="3"/>
  <c r="AM145" i="3"/>
  <c r="X145" i="3" a="1"/>
  <c r="X145" i="3" s="1"/>
  <c r="AA145" i="3" l="1"/>
  <c r="Z145" i="3"/>
  <c r="Y145" i="3"/>
  <c r="E145" i="3" a="1"/>
  <c r="E145" i="3" s="1"/>
  <c r="AD144" i="3"/>
  <c r="AC144" i="3"/>
  <c r="AB144" i="3" a="1"/>
  <c r="AB144" i="3"/>
  <c r="W144" i="3" a="1"/>
  <c r="W144" i="3"/>
  <c r="U144" i="3"/>
  <c r="T144" i="3"/>
  <c r="S144" i="3"/>
  <c r="P144" i="3"/>
  <c r="O144" i="3"/>
  <c r="N144" i="3"/>
  <c r="AL144" i="3" s="1"/>
  <c r="L144" i="3"/>
  <c r="J144" i="3"/>
  <c r="I144" i="3"/>
  <c r="H144" i="3"/>
  <c r="G144" i="3"/>
  <c r="M144" i="3" s="1"/>
  <c r="F144" i="3"/>
  <c r="D144" i="3"/>
  <c r="C144" i="3"/>
  <c r="B144" i="3"/>
  <c r="AI143" i="3"/>
  <c r="AH143" i="3"/>
  <c r="AG143" i="3"/>
  <c r="V144" i="3" a="1"/>
  <c r="AE144" i="3" a="1"/>
  <c r="AF144" i="3" a="1"/>
  <c r="AF144" i="3" l="1"/>
  <c r="AE144" i="3"/>
  <c r="V144" i="3"/>
  <c r="Q144" i="3"/>
  <c r="K144" i="3"/>
  <c r="R144" i="3" s="1"/>
  <c r="AK144" i="3"/>
  <c r="AM144" i="3"/>
  <c r="X144" i="3" a="1"/>
  <c r="X144" i="3" s="1"/>
  <c r="AA144" i="3" l="1"/>
  <c r="Z144" i="3"/>
  <c r="Y144" i="3"/>
  <c r="E144" i="3" s="1" a="1"/>
  <c r="E144" i="3" s="1"/>
  <c r="AD143" i="3"/>
  <c r="AC143" i="3"/>
  <c r="AB143" i="3" a="1"/>
  <c r="AB143" i="3"/>
  <c r="W143" i="3" a="1"/>
  <c r="W143" i="3"/>
  <c r="U143" i="3"/>
  <c r="T143" i="3"/>
  <c r="S143" i="3"/>
  <c r="P143" i="3"/>
  <c r="O143" i="3"/>
  <c r="N143" i="3"/>
  <c r="AL143" i="3" s="1"/>
  <c r="L143" i="3"/>
  <c r="J143" i="3"/>
  <c r="I143" i="3"/>
  <c r="H143" i="3"/>
  <c r="Q143" i="3" s="1"/>
  <c r="G143" i="3"/>
  <c r="M143" i="3" s="1"/>
  <c r="F143" i="3"/>
  <c r="D143" i="3"/>
  <c r="C143" i="3"/>
  <c r="B143" i="3"/>
  <c r="AI142" i="3"/>
  <c r="AH142" i="3"/>
  <c r="AG142" i="3"/>
  <c r="V143" i="3" a="1"/>
  <c r="AE143" i="3" a="1"/>
  <c r="AF143" i="3" a="1"/>
  <c r="AF143" i="3" l="1"/>
  <c r="AE143" i="3"/>
  <c r="V143" i="3"/>
  <c r="K143" i="3"/>
  <c r="R143" i="3" s="1"/>
  <c r="AK143" i="3"/>
  <c r="AM143" i="3"/>
  <c r="X143" i="3" a="1"/>
  <c r="X143" i="3" s="1"/>
  <c r="AA143" i="3" l="1"/>
  <c r="Y143" i="3"/>
  <c r="E143" i="3" s="1" a="1"/>
  <c r="E143" i="3" s="1"/>
  <c r="Z143" i="3"/>
  <c r="AD142" i="3"/>
  <c r="AC142" i="3"/>
  <c r="AB142" i="3" a="1"/>
  <c r="AB142" i="3"/>
  <c r="W142" i="3" a="1"/>
  <c r="W142" i="3"/>
  <c r="U142" i="3"/>
  <c r="T142" i="3"/>
  <c r="S142" i="3"/>
  <c r="P142" i="3"/>
  <c r="O142" i="3"/>
  <c r="N142" i="3"/>
  <c r="AL142" i="3" s="1"/>
  <c r="L142" i="3"/>
  <c r="J142" i="3"/>
  <c r="I142" i="3"/>
  <c r="H142" i="3"/>
  <c r="K142" i="3" s="1"/>
  <c r="G142" i="3"/>
  <c r="M142" i="3" s="1"/>
  <c r="F142" i="3"/>
  <c r="D142" i="3"/>
  <c r="C142" i="3"/>
  <c r="B142" i="3"/>
  <c r="AI141" i="3"/>
  <c r="AH141" i="3"/>
  <c r="AG141" i="3"/>
  <c r="V142" i="3" a="1"/>
  <c r="AE142" i="3" a="1"/>
  <c r="AF142" i="3" a="1"/>
  <c r="AF142" i="3" l="1"/>
  <c r="AE142" i="3"/>
  <c r="V142" i="3"/>
  <c r="R142" i="3"/>
  <c r="Q142" i="3"/>
  <c r="AK142" i="3"/>
  <c r="AM142" i="3"/>
  <c r="X142" i="3" a="1"/>
  <c r="X142" i="3" s="1"/>
  <c r="AA142" i="3" l="1"/>
  <c r="Z142" i="3"/>
  <c r="Y142" i="3"/>
  <c r="E142" i="3" s="1" a="1"/>
  <c r="E142" i="3" s="1"/>
  <c r="AD141" i="3"/>
  <c r="AC141" i="3"/>
  <c r="AB141" i="3" a="1"/>
  <c r="AB141" i="3"/>
  <c r="W141" i="3" a="1"/>
  <c r="W141" i="3"/>
  <c r="U141" i="3"/>
  <c r="T141" i="3"/>
  <c r="S141" i="3"/>
  <c r="P141" i="3"/>
  <c r="O141" i="3"/>
  <c r="N141" i="3"/>
  <c r="AL141" i="3" s="1"/>
  <c r="L141" i="3"/>
  <c r="J141" i="3"/>
  <c r="I141" i="3"/>
  <c r="H141" i="3"/>
  <c r="Q141" i="3" s="1"/>
  <c r="G141" i="3"/>
  <c r="M141" i="3" s="1"/>
  <c r="F141" i="3"/>
  <c r="D141" i="3"/>
  <c r="C141" i="3"/>
  <c r="B141" i="3"/>
  <c r="AI140" i="3"/>
  <c r="AH140" i="3"/>
  <c r="AG140" i="3"/>
  <c r="V141" i="3" a="1"/>
  <c r="AE141" i="3" a="1"/>
  <c r="AF141" i="3" a="1"/>
  <c r="AF141" i="3" l="1"/>
  <c r="AE141" i="3"/>
  <c r="V141" i="3"/>
  <c r="K141" i="3"/>
  <c r="R141" i="3" s="1"/>
  <c r="AK141" i="3"/>
  <c r="AM141" i="3"/>
  <c r="X141" i="3" a="1"/>
  <c r="X141" i="3" s="1"/>
  <c r="AA141" i="3" l="1"/>
  <c r="Z141" i="3"/>
  <c r="Y141" i="3"/>
  <c r="E141" i="3" a="1"/>
  <c r="E141" i="3" s="1"/>
  <c r="AD140" i="3"/>
  <c r="AC140" i="3"/>
  <c r="AB140" i="3" a="1"/>
  <c r="AB140" i="3"/>
  <c r="W140" i="3" a="1"/>
  <c r="W140" i="3"/>
  <c r="U140" i="3"/>
  <c r="T140" i="3"/>
  <c r="S140" i="3"/>
  <c r="P140" i="3"/>
  <c r="O140" i="3"/>
  <c r="N140" i="3"/>
  <c r="AL140" i="3" s="1"/>
  <c r="L140" i="3"/>
  <c r="J140" i="3"/>
  <c r="I140" i="3"/>
  <c r="H140" i="3"/>
  <c r="G140" i="3"/>
  <c r="M140" i="3" s="1"/>
  <c r="F140" i="3"/>
  <c r="D140" i="3"/>
  <c r="C140" i="3"/>
  <c r="B140" i="3"/>
  <c r="AI139" i="3"/>
  <c r="AH139" i="3"/>
  <c r="AG139" i="3"/>
  <c r="V140" i="3" a="1"/>
  <c r="AE140" i="3" a="1"/>
  <c r="AF140" i="3" a="1"/>
  <c r="AF140" i="3" l="1"/>
  <c r="AE140" i="3"/>
  <c r="V140" i="3"/>
  <c r="Q140" i="3"/>
  <c r="K140" i="3"/>
  <c r="R140" i="3" s="1"/>
  <c r="AK140" i="3"/>
  <c r="AM140" i="3"/>
  <c r="X140" i="3" a="1"/>
  <c r="X140" i="3" s="1"/>
  <c r="AA140" i="3" l="1"/>
  <c r="Z140" i="3"/>
  <c r="Y140" i="3"/>
  <c r="E140" i="3" s="1" a="1"/>
  <c r="E140" i="3" s="1"/>
  <c r="AD139" i="3"/>
  <c r="AC139" i="3"/>
  <c r="AB139" i="3" a="1"/>
  <c r="AB139" i="3"/>
  <c r="W139" i="3" a="1"/>
  <c r="W139" i="3"/>
  <c r="U139" i="3"/>
  <c r="T139" i="3"/>
  <c r="S139" i="3"/>
  <c r="P139" i="3"/>
  <c r="O139" i="3"/>
  <c r="N139" i="3"/>
  <c r="AL139" i="3" s="1"/>
  <c r="L139" i="3"/>
  <c r="J139" i="3"/>
  <c r="I139" i="3"/>
  <c r="Q139" i="3" s="1"/>
  <c r="H139" i="3"/>
  <c r="G139" i="3"/>
  <c r="M139" i="3" s="1"/>
  <c r="F139" i="3"/>
  <c r="D139" i="3"/>
  <c r="C139" i="3"/>
  <c r="B139" i="3"/>
  <c r="AI138" i="3"/>
  <c r="AH138" i="3"/>
  <c r="AG138" i="3"/>
  <c r="V139" i="3" a="1"/>
  <c r="AE139" i="3" a="1"/>
  <c r="AF139" i="3" a="1"/>
  <c r="AF139" i="3" l="1"/>
  <c r="AE139" i="3"/>
  <c r="V139" i="3"/>
  <c r="K139" i="3"/>
  <c r="R139" i="3" s="1"/>
  <c r="AK139" i="3"/>
  <c r="AM139" i="3"/>
  <c r="X139" i="3" a="1"/>
  <c r="X139" i="3" s="1"/>
  <c r="AA139" i="3" l="1"/>
  <c r="Z139" i="3"/>
  <c r="Y139" i="3"/>
  <c r="E139" i="3" a="1"/>
  <c r="E139" i="3" s="1"/>
  <c r="AD138" i="3"/>
  <c r="AC138" i="3"/>
  <c r="AB138" i="3" a="1"/>
  <c r="AB138" i="3"/>
  <c r="W138" i="3" a="1"/>
  <c r="W138" i="3"/>
  <c r="U138" i="3"/>
  <c r="T138" i="3"/>
  <c r="S138" i="3"/>
  <c r="P138" i="3"/>
  <c r="O138" i="3"/>
  <c r="N138" i="3"/>
  <c r="AL138" i="3" s="1"/>
  <c r="L138" i="3"/>
  <c r="J138" i="3"/>
  <c r="I138" i="3"/>
  <c r="H138" i="3"/>
  <c r="K138" i="3" s="1"/>
  <c r="R138" i="3" s="1"/>
  <c r="G138" i="3"/>
  <c r="M138" i="3" s="1"/>
  <c r="F138" i="3"/>
  <c r="D138" i="3"/>
  <c r="C138" i="3"/>
  <c r="B138" i="3"/>
  <c r="AI137" i="3"/>
  <c r="AH137" i="3"/>
  <c r="AG137" i="3"/>
  <c r="V138" i="3" a="1"/>
  <c r="AE138" i="3" a="1"/>
  <c r="AF138" i="3" a="1"/>
  <c r="AF138" i="3" l="1"/>
  <c r="AE138" i="3"/>
  <c r="V138" i="3"/>
  <c r="Q138" i="3"/>
  <c r="AK138" i="3"/>
  <c r="AM138" i="3"/>
  <c r="X138" i="3" a="1"/>
  <c r="X138" i="3" s="1"/>
  <c r="AA138" i="3" l="1"/>
  <c r="Z138" i="3"/>
  <c r="Y138" i="3"/>
  <c r="E138" i="3" s="1" a="1"/>
  <c r="E138" i="3" s="1"/>
  <c r="AD137" i="3"/>
  <c r="AC137" i="3"/>
  <c r="AB137" i="3" a="1"/>
  <c r="AB137" i="3"/>
  <c r="W137" i="3" a="1"/>
  <c r="W137" i="3"/>
  <c r="U137" i="3"/>
  <c r="T137" i="3"/>
  <c r="S137" i="3"/>
  <c r="P137" i="3"/>
  <c r="O137" i="3"/>
  <c r="N137" i="3"/>
  <c r="AL137" i="3" s="1"/>
  <c r="L137" i="3"/>
  <c r="J137" i="3"/>
  <c r="I137" i="3"/>
  <c r="H137" i="3"/>
  <c r="Q137" i="3" s="1"/>
  <c r="G137" i="3"/>
  <c r="F137" i="3"/>
  <c r="D137" i="3"/>
  <c r="C137" i="3"/>
  <c r="B137" i="3"/>
  <c r="AI136" i="3"/>
  <c r="AH136" i="3"/>
  <c r="AG136" i="3"/>
  <c r="V137" i="3" a="1"/>
  <c r="AE137" i="3" a="1"/>
  <c r="AF137" i="3" a="1"/>
  <c r="AF137" i="3" l="1"/>
  <c r="AE137" i="3"/>
  <c r="V137" i="3"/>
  <c r="K137" i="3"/>
  <c r="M137" i="3"/>
  <c r="AK137" i="3"/>
  <c r="AM137" i="3"/>
  <c r="X137" i="3" a="1"/>
  <c r="X137" i="3" s="1"/>
  <c r="R137" i="3" l="1"/>
  <c r="AA137" i="3"/>
  <c r="Z137" i="3"/>
  <c r="Y137" i="3"/>
  <c r="E137" i="3" s="1" a="1"/>
  <c r="E137" i="3" s="1"/>
  <c r="AD136" i="3"/>
  <c r="AC136" i="3"/>
  <c r="AB136" i="3" a="1"/>
  <c r="AB136" i="3"/>
  <c r="W136" i="3" a="1"/>
  <c r="W136" i="3"/>
  <c r="U136" i="3"/>
  <c r="T136" i="3"/>
  <c r="S136" i="3"/>
  <c r="P136" i="3"/>
  <c r="O136" i="3"/>
  <c r="N136" i="3"/>
  <c r="AL136" i="3" s="1"/>
  <c r="L136" i="3"/>
  <c r="J136" i="3"/>
  <c r="I136" i="3"/>
  <c r="H136" i="3"/>
  <c r="K136" i="3" s="1"/>
  <c r="G136" i="3"/>
  <c r="M136" i="3" s="1"/>
  <c r="F136" i="3"/>
  <c r="D136" i="3"/>
  <c r="C136" i="3"/>
  <c r="B136" i="3"/>
  <c r="AI135" i="3"/>
  <c r="AH135" i="3"/>
  <c r="AG135" i="3"/>
  <c r="V136" i="3" a="1"/>
  <c r="AE136" i="3" a="1"/>
  <c r="AF136" i="3" a="1"/>
  <c r="AF136" i="3" l="1"/>
  <c r="AE136" i="3"/>
  <c r="V136" i="3"/>
  <c r="R136" i="3"/>
  <c r="Q136" i="3"/>
  <c r="AK136" i="3"/>
  <c r="AM136" i="3"/>
  <c r="X136" i="3" a="1"/>
  <c r="X136" i="3" s="1"/>
  <c r="Z136" i="3" l="1"/>
  <c r="AA136" i="3"/>
  <c r="Y136" i="3"/>
  <c r="E136" i="3" s="1" a="1"/>
  <c r="E136" i="3" s="1"/>
  <c r="AD135" i="3"/>
  <c r="AC135" i="3"/>
  <c r="AB135" i="3" a="1"/>
  <c r="AB135" i="3"/>
  <c r="W135" i="3" a="1"/>
  <c r="W135" i="3"/>
  <c r="U135" i="3"/>
  <c r="T135" i="3"/>
  <c r="S135" i="3"/>
  <c r="P135" i="3"/>
  <c r="O135" i="3"/>
  <c r="N135" i="3"/>
  <c r="AL135" i="3" s="1"/>
  <c r="L135" i="3"/>
  <c r="J135" i="3"/>
  <c r="I135" i="3"/>
  <c r="H135" i="3"/>
  <c r="Q135" i="3" s="1"/>
  <c r="G135" i="3"/>
  <c r="F135" i="3"/>
  <c r="D135" i="3"/>
  <c r="C135" i="3"/>
  <c r="B135" i="3"/>
  <c r="AI134" i="3"/>
  <c r="AH134" i="3"/>
  <c r="AG134" i="3"/>
  <c r="V135" i="3" a="1"/>
  <c r="AE135" i="3" a="1"/>
  <c r="AF135" i="3" a="1"/>
  <c r="AF135" i="3" l="1"/>
  <c r="AE135" i="3"/>
  <c r="V135" i="3"/>
  <c r="K135" i="3"/>
  <c r="M135" i="3"/>
  <c r="AK135" i="3"/>
  <c r="AM135" i="3"/>
  <c r="X135" i="3" a="1"/>
  <c r="X135" i="3" s="1"/>
  <c r="R135" i="3" l="1"/>
  <c r="AA135" i="3"/>
  <c r="Z135" i="3"/>
  <c r="Y135" i="3"/>
  <c r="E135" i="3" s="1" a="1"/>
  <c r="E135" i="3" s="1"/>
  <c r="AD134" i="3"/>
  <c r="AC134" i="3"/>
  <c r="AB134" i="3" a="1"/>
  <c r="AB134" i="3"/>
  <c r="W134" i="3" a="1"/>
  <c r="W134" i="3"/>
  <c r="U134" i="3"/>
  <c r="T134" i="3"/>
  <c r="S134" i="3"/>
  <c r="P134" i="3"/>
  <c r="O134" i="3"/>
  <c r="N134" i="3"/>
  <c r="AL134" i="3" s="1"/>
  <c r="L134" i="3"/>
  <c r="J134" i="3"/>
  <c r="I134" i="3"/>
  <c r="H134" i="3"/>
  <c r="G134" i="3"/>
  <c r="M134" i="3" s="1"/>
  <c r="F134" i="3"/>
  <c r="D134" i="3"/>
  <c r="C134" i="3"/>
  <c r="B134" i="3"/>
  <c r="AI133" i="3"/>
  <c r="AH133" i="3"/>
  <c r="AG133" i="3"/>
  <c r="V134" i="3" a="1"/>
  <c r="AE134" i="3" a="1"/>
  <c r="AF134" i="3" a="1"/>
  <c r="AF134" i="3" l="1"/>
  <c r="AE134" i="3"/>
  <c r="V134" i="3"/>
  <c r="Q134" i="3"/>
  <c r="K134" i="3"/>
  <c r="R134" i="3" s="1"/>
  <c r="AK134" i="3"/>
  <c r="AM134" i="3"/>
  <c r="X134" i="3" a="1"/>
  <c r="X134" i="3" s="1"/>
  <c r="AA134" i="3" l="1"/>
  <c r="Z134" i="3"/>
  <c r="Y134" i="3"/>
  <c r="E134" i="3" s="1" a="1"/>
  <c r="E134" i="3" s="1"/>
  <c r="AD133" i="3"/>
  <c r="AC133" i="3"/>
  <c r="AB133" i="3" a="1"/>
  <c r="AB133" i="3"/>
  <c r="W133" i="3" a="1"/>
  <c r="W133" i="3"/>
  <c r="U133" i="3"/>
  <c r="T133" i="3"/>
  <c r="S133" i="3"/>
  <c r="Q133" i="3"/>
  <c r="P133" i="3"/>
  <c r="O133" i="3"/>
  <c r="N133" i="3"/>
  <c r="AL133" i="3" s="1"/>
  <c r="L133" i="3"/>
  <c r="J133" i="3"/>
  <c r="I133" i="3"/>
  <c r="H133" i="3"/>
  <c r="K133" i="3" s="1"/>
  <c r="G133" i="3"/>
  <c r="F133" i="3"/>
  <c r="D133" i="3"/>
  <c r="C133" i="3"/>
  <c r="B133" i="3"/>
  <c r="AI132" i="3"/>
  <c r="AH132" i="3"/>
  <c r="AG132" i="3"/>
  <c r="V133" i="3" a="1"/>
  <c r="AE133" i="3" a="1"/>
  <c r="AF133" i="3" a="1"/>
  <c r="AF133" i="3" l="1"/>
  <c r="AE133" i="3"/>
  <c r="V133" i="3"/>
  <c r="M133" i="3"/>
  <c r="AK133" i="3"/>
  <c r="AM133" i="3"/>
  <c r="X133" i="3" a="1"/>
  <c r="X133" i="3" s="1"/>
  <c r="R133" i="3" l="1"/>
  <c r="AA133" i="3"/>
  <c r="Z133" i="3"/>
  <c r="Y133" i="3"/>
  <c r="E133" i="3" s="1" a="1"/>
  <c r="E133" i="3" s="1"/>
  <c r="AD132" i="3"/>
  <c r="AC132" i="3"/>
  <c r="AB132" i="3" a="1"/>
  <c r="AB132" i="3"/>
  <c r="W132" i="3" a="1"/>
  <c r="W132" i="3"/>
  <c r="U132" i="3"/>
  <c r="T132" i="3"/>
  <c r="S132" i="3"/>
  <c r="P132" i="3"/>
  <c r="O132" i="3"/>
  <c r="N132" i="3"/>
  <c r="AL132" i="3" s="1"/>
  <c r="L132" i="3"/>
  <c r="J132" i="3"/>
  <c r="I132" i="3"/>
  <c r="H132" i="3"/>
  <c r="Q132" i="3" s="1"/>
  <c r="G132" i="3"/>
  <c r="M132" i="3" s="1"/>
  <c r="F132" i="3"/>
  <c r="D132" i="3"/>
  <c r="C132" i="3"/>
  <c r="B132" i="3"/>
  <c r="AI131" i="3"/>
  <c r="AH131" i="3"/>
  <c r="AG131" i="3"/>
  <c r="V132" i="3" a="1"/>
  <c r="AE132" i="3" a="1"/>
  <c r="AF132" i="3" a="1"/>
  <c r="AF132" i="3" l="1"/>
  <c r="AE132" i="3"/>
  <c r="V132" i="3"/>
  <c r="K132" i="3"/>
  <c r="R132" i="3" s="1"/>
  <c r="AK132" i="3"/>
  <c r="AM132" i="3"/>
  <c r="X132" i="3" a="1"/>
  <c r="X132" i="3" s="1"/>
  <c r="AA132" i="3" l="1"/>
  <c r="Z132" i="3"/>
  <c r="Y132" i="3"/>
  <c r="E132" i="3" a="1"/>
  <c r="E132" i="3" s="1"/>
  <c r="AD131" i="3"/>
  <c r="AC131" i="3"/>
  <c r="AB131" i="3" a="1"/>
  <c r="AB131" i="3"/>
  <c r="W131" i="3" a="1"/>
  <c r="W131" i="3"/>
  <c r="U131" i="3"/>
  <c r="T131" i="3"/>
  <c r="S131" i="3"/>
  <c r="P131" i="3"/>
  <c r="O131" i="3"/>
  <c r="N131" i="3"/>
  <c r="AL131" i="3" s="1"/>
  <c r="L131" i="3"/>
  <c r="J131" i="3"/>
  <c r="I131" i="3"/>
  <c r="H131" i="3"/>
  <c r="Q131" i="3" s="1"/>
  <c r="G131" i="3"/>
  <c r="M131" i="3" s="1"/>
  <c r="F131" i="3"/>
  <c r="D131" i="3"/>
  <c r="C131" i="3"/>
  <c r="B131" i="3"/>
  <c r="AI130" i="3"/>
  <c r="AH130" i="3"/>
  <c r="AG130" i="3"/>
  <c r="V131" i="3" a="1"/>
  <c r="AE131" i="3" a="1"/>
  <c r="AF131" i="3" a="1"/>
  <c r="AF131" i="3" l="1"/>
  <c r="AE131" i="3"/>
  <c r="V131" i="3"/>
  <c r="K131" i="3"/>
  <c r="R131" i="3" s="1"/>
  <c r="AK131" i="3"/>
  <c r="AM131" i="3"/>
  <c r="X131" i="3" a="1"/>
  <c r="X131" i="3" s="1"/>
  <c r="AA131" i="3" l="1"/>
  <c r="Z131" i="3"/>
  <c r="Y131" i="3"/>
  <c r="E131" i="3" s="1" a="1"/>
  <c r="E131" i="3" s="1"/>
  <c r="AD130" i="3"/>
  <c r="AC130" i="3"/>
  <c r="AB130" i="3" a="1"/>
  <c r="AB130" i="3"/>
  <c r="W130" i="3" a="1"/>
  <c r="W130" i="3"/>
  <c r="U130" i="3"/>
  <c r="T130" i="3"/>
  <c r="S130" i="3"/>
  <c r="P130" i="3"/>
  <c r="O130" i="3"/>
  <c r="N130" i="3"/>
  <c r="AL130" i="3" s="1"/>
  <c r="L130" i="3"/>
  <c r="J130" i="3"/>
  <c r="I130" i="3"/>
  <c r="H130" i="3"/>
  <c r="Q130" i="3" s="1"/>
  <c r="G130" i="3"/>
  <c r="M130" i="3" s="1"/>
  <c r="F130" i="3"/>
  <c r="D130" i="3"/>
  <c r="C130" i="3"/>
  <c r="B130" i="3"/>
  <c r="AI129" i="3"/>
  <c r="AH129" i="3"/>
  <c r="AG129" i="3"/>
  <c r="V130" i="3" a="1"/>
  <c r="AE130" i="3" a="1"/>
  <c r="AF130" i="3" a="1"/>
  <c r="AF130" i="3" l="1"/>
  <c r="AE130" i="3"/>
  <c r="V130" i="3"/>
  <c r="K130" i="3"/>
  <c r="R130" i="3" s="1"/>
  <c r="AK130" i="3"/>
  <c r="AM130" i="3"/>
  <c r="X130" i="3" a="1"/>
  <c r="X130" i="3" s="1"/>
  <c r="AA130" i="3" l="1"/>
  <c r="Z130" i="3"/>
  <c r="Y130" i="3"/>
  <c r="E130" i="3" s="1" a="1"/>
  <c r="E130" i="3" s="1"/>
  <c r="AD129" i="3"/>
  <c r="AC129" i="3"/>
  <c r="AB129" i="3" a="1"/>
  <c r="AB129" i="3"/>
  <c r="W129" i="3" a="1"/>
  <c r="W129" i="3"/>
  <c r="U129" i="3"/>
  <c r="T129" i="3"/>
  <c r="S129" i="3"/>
  <c r="P129" i="3"/>
  <c r="O129" i="3"/>
  <c r="N129" i="3"/>
  <c r="AL129" i="3" s="1"/>
  <c r="L129" i="3"/>
  <c r="J129" i="3"/>
  <c r="I129" i="3"/>
  <c r="Q129" i="3" s="1"/>
  <c r="H129" i="3"/>
  <c r="G129" i="3"/>
  <c r="F129" i="3"/>
  <c r="D129" i="3"/>
  <c r="C129" i="3"/>
  <c r="B129" i="3"/>
  <c r="AI128" i="3"/>
  <c r="AH128" i="3"/>
  <c r="AG128" i="3"/>
  <c r="V129" i="3" a="1"/>
  <c r="AE129" i="3" a="1"/>
  <c r="AF129" i="3" a="1"/>
  <c r="AF129" i="3" l="1"/>
  <c r="AE129" i="3"/>
  <c r="V129" i="3"/>
  <c r="K129" i="3"/>
  <c r="M129" i="3"/>
  <c r="AK129" i="3"/>
  <c r="AM129" i="3"/>
  <c r="X129" i="3" a="1"/>
  <c r="X129" i="3" s="1"/>
  <c r="R129" i="3" l="1"/>
  <c r="AA129" i="3"/>
  <c r="Y129" i="3"/>
  <c r="E129" i="3" s="1" a="1"/>
  <c r="E129" i="3" s="1"/>
  <c r="Z129" i="3"/>
  <c r="AD128" i="3"/>
  <c r="AC128" i="3"/>
  <c r="AB128" i="3" a="1"/>
  <c r="AB128" i="3"/>
  <c r="W128" i="3" a="1"/>
  <c r="W128" i="3"/>
  <c r="U128" i="3"/>
  <c r="T128" i="3"/>
  <c r="S128" i="3"/>
  <c r="P128" i="3"/>
  <c r="O128" i="3"/>
  <c r="N128" i="3"/>
  <c r="AL128" i="3" s="1"/>
  <c r="L128" i="3"/>
  <c r="J128" i="3"/>
  <c r="I128" i="3"/>
  <c r="H128" i="3"/>
  <c r="K128" i="3" s="1"/>
  <c r="G128" i="3"/>
  <c r="F128" i="3"/>
  <c r="D128" i="3"/>
  <c r="C128" i="3"/>
  <c r="B128" i="3"/>
  <c r="AI127" i="3"/>
  <c r="AH127" i="3"/>
  <c r="AG127" i="3"/>
  <c r="V128" i="3" a="1"/>
  <c r="AE128" i="3" a="1"/>
  <c r="AF128" i="3" a="1"/>
  <c r="AF128" i="3" l="1"/>
  <c r="AE128" i="3"/>
  <c r="V128" i="3"/>
  <c r="Q128" i="3"/>
  <c r="M128" i="3"/>
  <c r="R128" i="3" s="1"/>
  <c r="AK128" i="3"/>
  <c r="AM128" i="3"/>
  <c r="X128" i="3" a="1"/>
  <c r="X128" i="3" s="1"/>
  <c r="E128" i="3" l="1" a="1"/>
  <c r="E128" i="3" s="1"/>
  <c r="AA128" i="3"/>
  <c r="Z128" i="3"/>
  <c r="Y128" i="3"/>
  <c r="AD127" i="3"/>
  <c r="AC127" i="3"/>
  <c r="AB127" i="3" a="1"/>
  <c r="AB127" i="3"/>
  <c r="W127" i="3" a="1"/>
  <c r="W127" i="3"/>
  <c r="U127" i="3"/>
  <c r="T127" i="3"/>
  <c r="S127" i="3"/>
  <c r="Q127" i="3"/>
  <c r="P127" i="3"/>
  <c r="O127" i="3"/>
  <c r="N127" i="3"/>
  <c r="AL127" i="3" s="1"/>
  <c r="L127" i="3"/>
  <c r="J127" i="3"/>
  <c r="I127" i="3"/>
  <c r="H127" i="3"/>
  <c r="G127" i="3"/>
  <c r="M127" i="3" s="1"/>
  <c r="F127" i="3"/>
  <c r="D127" i="3"/>
  <c r="C127" i="3"/>
  <c r="B127" i="3"/>
  <c r="AI126" i="3"/>
  <c r="AH126" i="3"/>
  <c r="AG126" i="3"/>
  <c r="V127" i="3" a="1"/>
  <c r="AE127" i="3" a="1"/>
  <c r="AF127" i="3" a="1"/>
  <c r="AF127" i="3" l="1"/>
  <c r="AE127" i="3"/>
  <c r="V127" i="3"/>
  <c r="K127" i="3"/>
  <c r="R127" i="3" s="1"/>
  <c r="AK127" i="3"/>
  <c r="AM127" i="3"/>
  <c r="X127" i="3" a="1"/>
  <c r="X127" i="3" s="1"/>
  <c r="AA127" i="3" l="1"/>
  <c r="Z127" i="3"/>
  <c r="Y127" i="3"/>
  <c r="E127" i="3" a="1"/>
  <c r="E127" i="3" s="1"/>
  <c r="AD126" i="3"/>
  <c r="AC126" i="3"/>
  <c r="AB126" i="3" a="1"/>
  <c r="AB126" i="3"/>
  <c r="W126" i="3" a="1"/>
  <c r="W126" i="3"/>
  <c r="U126" i="3"/>
  <c r="T126" i="3"/>
  <c r="S126" i="3"/>
  <c r="P126" i="3"/>
  <c r="O126" i="3"/>
  <c r="N126" i="3"/>
  <c r="AL126" i="3" s="1"/>
  <c r="L126" i="3"/>
  <c r="J126" i="3"/>
  <c r="I126" i="3"/>
  <c r="H126" i="3"/>
  <c r="Q126" i="3" s="1"/>
  <c r="G126" i="3"/>
  <c r="M126" i="3" s="1"/>
  <c r="F126" i="3"/>
  <c r="D126" i="3"/>
  <c r="C126" i="3"/>
  <c r="B126" i="3"/>
  <c r="AI125" i="3"/>
  <c r="AH125" i="3"/>
  <c r="AG125" i="3"/>
  <c r="V126" i="3" a="1"/>
  <c r="AE126" i="3" a="1"/>
  <c r="AF126" i="3" a="1"/>
  <c r="AF126" i="3" l="1"/>
  <c r="AE126" i="3"/>
  <c r="V126" i="3"/>
  <c r="K126" i="3"/>
  <c r="R126" i="3" s="1"/>
  <c r="AK126" i="3"/>
  <c r="AM126" i="3"/>
  <c r="X126" i="3" a="1"/>
  <c r="X126" i="3" s="1"/>
  <c r="AA126" i="3" l="1"/>
  <c r="Z126" i="3"/>
  <c r="Y126" i="3"/>
  <c r="E126" i="3" s="1" a="1"/>
  <c r="E126" i="3" s="1"/>
  <c r="AD125" i="3"/>
  <c r="AC125" i="3"/>
  <c r="AB125" i="3" a="1"/>
  <c r="AB125" i="3"/>
  <c r="W125" i="3" a="1"/>
  <c r="W125" i="3"/>
  <c r="U125" i="3"/>
  <c r="T125" i="3"/>
  <c r="S125" i="3"/>
  <c r="P125" i="3"/>
  <c r="O125" i="3"/>
  <c r="N125" i="3"/>
  <c r="AL125" i="3" s="1"/>
  <c r="L125" i="3"/>
  <c r="J125" i="3"/>
  <c r="I125" i="3"/>
  <c r="H125" i="3"/>
  <c r="K125" i="3" s="1"/>
  <c r="G125" i="3"/>
  <c r="F125" i="3"/>
  <c r="D125" i="3"/>
  <c r="C125" i="3"/>
  <c r="B125" i="3"/>
  <c r="AI124" i="3"/>
  <c r="AH124" i="3"/>
  <c r="AG124" i="3"/>
  <c r="V125" i="3" a="1"/>
  <c r="AE125" i="3" a="1"/>
  <c r="AF125" i="3" a="1"/>
  <c r="AF125" i="3" l="1"/>
  <c r="AE125" i="3"/>
  <c r="V125" i="3"/>
  <c r="Q125" i="3"/>
  <c r="M125" i="3"/>
  <c r="R125" i="3" s="1"/>
  <c r="AK125" i="3"/>
  <c r="AM125" i="3"/>
  <c r="X125" i="3" a="1"/>
  <c r="X125" i="3" s="1"/>
  <c r="AA125" i="3" l="1"/>
  <c r="Z125" i="3"/>
  <c r="Y125" i="3"/>
  <c r="E125" i="3" s="1" a="1"/>
  <c r="E125" i="3" s="1"/>
  <c r="AD124" i="3"/>
  <c r="AC124" i="3"/>
  <c r="AB124" i="3" a="1"/>
  <c r="AB124" i="3"/>
  <c r="W124" i="3" a="1"/>
  <c r="W124" i="3"/>
  <c r="U124" i="3"/>
  <c r="T124" i="3"/>
  <c r="Q124" i="3"/>
  <c r="P124" i="3"/>
  <c r="O124" i="3"/>
  <c r="N124" i="3"/>
  <c r="AL124" i="3" s="1"/>
  <c r="L124" i="3"/>
  <c r="J124" i="3"/>
  <c r="I124" i="3"/>
  <c r="H124" i="3"/>
  <c r="G124" i="3"/>
  <c r="F124" i="3"/>
  <c r="K124" i="3" s="1"/>
  <c r="D124" i="3"/>
  <c r="C124" i="3"/>
  <c r="B124" i="3"/>
  <c r="AI123" i="3"/>
  <c r="AH123" i="3"/>
  <c r="AG123" i="3"/>
  <c r="V124" i="3" a="1"/>
  <c r="AE124" i="3" a="1"/>
  <c r="AF124" i="3" a="1"/>
  <c r="AF124" i="3" l="1"/>
  <c r="AE124" i="3"/>
  <c r="V124" i="3"/>
  <c r="S124" i="3"/>
  <c r="AK124" i="3"/>
  <c r="AM124" i="3"/>
  <c r="X124" i="3" a="1"/>
  <c r="X124" i="3" s="1"/>
  <c r="M124" i="3"/>
  <c r="AA124" i="3" l="1"/>
  <c r="Y124" i="3"/>
  <c r="Z124" i="3"/>
  <c r="R124" i="3"/>
  <c r="E124" i="3" s="1" a="1"/>
  <c r="E124" i="3" s="1"/>
  <c r="AD123" i="3"/>
  <c r="AC123" i="3"/>
  <c r="AB123" i="3" a="1"/>
  <c r="AB123" i="3"/>
  <c r="W123" i="3" a="1"/>
  <c r="W123" i="3"/>
  <c r="U123" i="3"/>
  <c r="T123" i="3"/>
  <c r="S123" i="3"/>
  <c r="P123" i="3"/>
  <c r="O123" i="3"/>
  <c r="N123" i="3"/>
  <c r="AL123" i="3" s="1"/>
  <c r="L123" i="3"/>
  <c r="J123" i="3"/>
  <c r="I123" i="3"/>
  <c r="H123" i="3"/>
  <c r="K123" i="3" s="1"/>
  <c r="G123" i="3"/>
  <c r="M123" i="3" s="1"/>
  <c r="F123" i="3"/>
  <c r="D123" i="3"/>
  <c r="C123" i="3"/>
  <c r="B123" i="3"/>
  <c r="AI122" i="3"/>
  <c r="AH122" i="3"/>
  <c r="AG122" i="3"/>
  <c r="V123" i="3" a="1"/>
  <c r="AE123" i="3" a="1"/>
  <c r="AF123" i="3" a="1"/>
  <c r="AF123" i="3" l="1"/>
  <c r="AE123" i="3"/>
  <c r="V123" i="3"/>
  <c r="R123" i="3"/>
  <c r="Q123" i="3"/>
  <c r="AM123" i="3"/>
  <c r="AK123" i="3"/>
  <c r="X123" i="3" a="1"/>
  <c r="X123" i="3" s="1"/>
  <c r="AA123" i="3" l="1"/>
  <c r="Z123" i="3"/>
  <c r="Y123" i="3"/>
  <c r="E123" i="3" s="1" a="1"/>
  <c r="E123" i="3" s="1"/>
  <c r="AD122" i="3"/>
  <c r="AC122" i="3"/>
  <c r="AB122" i="3" a="1"/>
  <c r="AB122" i="3"/>
  <c r="W122" i="3" a="1"/>
  <c r="W122" i="3"/>
  <c r="U122" i="3"/>
  <c r="T122" i="3"/>
  <c r="S122" i="3"/>
  <c r="P122" i="3"/>
  <c r="O122" i="3"/>
  <c r="N122" i="3"/>
  <c r="AL122" i="3" s="1"/>
  <c r="L122" i="3"/>
  <c r="J122" i="3"/>
  <c r="I122" i="3"/>
  <c r="H122" i="3"/>
  <c r="Q122" i="3" s="1"/>
  <c r="G122" i="3"/>
  <c r="M122" i="3" s="1"/>
  <c r="F122" i="3"/>
  <c r="D122" i="3"/>
  <c r="C122" i="3"/>
  <c r="B122" i="3"/>
  <c r="AI121" i="3"/>
  <c r="AH121" i="3"/>
  <c r="AG121" i="3"/>
  <c r="V122" i="3" a="1"/>
  <c r="AE122" i="3" a="1"/>
  <c r="AF122" i="3" a="1"/>
  <c r="AF122" i="3" l="1"/>
  <c r="AE122" i="3"/>
  <c r="V122" i="3"/>
  <c r="K122" i="3"/>
  <c r="R122" i="3" s="1"/>
  <c r="AK122" i="3"/>
  <c r="AM122" i="3"/>
  <c r="X122" i="3" a="1"/>
  <c r="X122" i="3" s="1"/>
  <c r="AA122" i="3" l="1"/>
  <c r="Z122" i="3"/>
  <c r="Y122" i="3"/>
  <c r="E122" i="3" a="1"/>
  <c r="E122" i="3" s="1"/>
  <c r="AD121" i="3"/>
  <c r="AC121" i="3"/>
  <c r="AB121" i="3" a="1"/>
  <c r="AB121" i="3"/>
  <c r="W121" i="3" a="1"/>
  <c r="W121" i="3"/>
  <c r="U121" i="3"/>
  <c r="T121" i="3"/>
  <c r="S121" i="3"/>
  <c r="P121" i="3"/>
  <c r="O121" i="3"/>
  <c r="N121" i="3"/>
  <c r="AL121" i="3" s="1"/>
  <c r="L121" i="3"/>
  <c r="J121" i="3"/>
  <c r="I121" i="3"/>
  <c r="H121" i="3"/>
  <c r="G121" i="3"/>
  <c r="F121" i="3"/>
  <c r="D121" i="3"/>
  <c r="C121" i="3"/>
  <c r="B121" i="3"/>
  <c r="AI120" i="3"/>
  <c r="AH120" i="3"/>
  <c r="AG120" i="3"/>
  <c r="V121" i="3" a="1"/>
  <c r="AE121" i="3" a="1"/>
  <c r="AF121" i="3" a="1"/>
  <c r="AF121" i="3" l="1"/>
  <c r="AE121" i="3"/>
  <c r="V121" i="3"/>
  <c r="K121" i="3"/>
  <c r="R121" i="3" s="1"/>
  <c r="M121" i="3"/>
  <c r="Q121" i="3"/>
  <c r="AK121" i="3"/>
  <c r="AM121" i="3"/>
  <c r="X121" i="3" a="1"/>
  <c r="X121" i="3" s="1"/>
  <c r="AA121" i="3" l="1"/>
  <c r="Z121" i="3"/>
  <c r="Y121" i="3"/>
  <c r="E121" i="3" s="1" a="1"/>
  <c r="E121" i="3" s="1"/>
  <c r="AD120" i="3"/>
  <c r="AC120" i="3"/>
  <c r="AB120" i="3" a="1"/>
  <c r="AB120" i="3"/>
  <c r="W120" i="3" a="1"/>
  <c r="W120" i="3"/>
  <c r="U120" i="3"/>
  <c r="T120" i="3"/>
  <c r="S120" i="3"/>
  <c r="P120" i="3"/>
  <c r="O120" i="3"/>
  <c r="N120" i="3"/>
  <c r="AL120" i="3" s="1"/>
  <c r="L120" i="3"/>
  <c r="J120" i="3"/>
  <c r="I120" i="3"/>
  <c r="H120" i="3"/>
  <c r="Q120" i="3" s="1"/>
  <c r="G120" i="3"/>
  <c r="F120" i="3"/>
  <c r="D120" i="3"/>
  <c r="C120" i="3"/>
  <c r="B120" i="3"/>
  <c r="AI119" i="3"/>
  <c r="AH119" i="3"/>
  <c r="AG119" i="3"/>
  <c r="V120" i="3" a="1"/>
  <c r="AE120" i="3" a="1"/>
  <c r="AF120" i="3" a="1"/>
  <c r="AF120" i="3" l="1"/>
  <c r="AE120" i="3"/>
  <c r="V120" i="3"/>
  <c r="K120" i="3"/>
  <c r="M120" i="3"/>
  <c r="AK120" i="3"/>
  <c r="AM120" i="3"/>
  <c r="X120" i="3" a="1"/>
  <c r="X120" i="3" s="1"/>
  <c r="R120" i="3" l="1"/>
  <c r="AA120" i="3"/>
  <c r="Z120" i="3"/>
  <c r="Y120" i="3"/>
  <c r="E120" i="3" s="1" a="1"/>
  <c r="E120" i="3" s="1"/>
  <c r="AD119" i="3"/>
  <c r="AC119" i="3"/>
  <c r="AB119" i="3" a="1"/>
  <c r="AB119" i="3"/>
  <c r="W119" i="3" a="1"/>
  <c r="W119" i="3"/>
  <c r="U119" i="3"/>
  <c r="T119" i="3"/>
  <c r="S119" i="3"/>
  <c r="P119" i="3"/>
  <c r="O119" i="3"/>
  <c r="N119" i="3"/>
  <c r="AL119" i="3" s="1"/>
  <c r="L119" i="3"/>
  <c r="J119" i="3"/>
  <c r="I119" i="3"/>
  <c r="H119" i="3"/>
  <c r="Q119" i="3" s="1"/>
  <c r="G119" i="3"/>
  <c r="M119" i="3" s="1"/>
  <c r="F119" i="3"/>
  <c r="D119" i="3"/>
  <c r="C119" i="3"/>
  <c r="B119" i="3"/>
  <c r="AI118" i="3"/>
  <c r="AH118" i="3"/>
  <c r="AG118" i="3"/>
  <c r="V119" i="3" a="1"/>
  <c r="AE119" i="3" a="1"/>
  <c r="AF119" i="3" a="1"/>
  <c r="AF119" i="3" l="1"/>
  <c r="AE119" i="3"/>
  <c r="V119" i="3"/>
  <c r="K119" i="3"/>
  <c r="R119" i="3" s="1"/>
  <c r="AK119" i="3"/>
  <c r="AM119" i="3"/>
  <c r="X119" i="3" a="1"/>
  <c r="X119" i="3" s="1"/>
  <c r="Z119" i="3" l="1"/>
  <c r="AA119" i="3"/>
  <c r="Y119" i="3"/>
  <c r="E119" i="3" a="1"/>
  <c r="E119" i="3" s="1"/>
  <c r="AD118" i="3"/>
  <c r="AC118" i="3"/>
  <c r="AB118" i="3" a="1"/>
  <c r="AB118" i="3"/>
  <c r="W118" i="3" a="1"/>
  <c r="W118" i="3"/>
  <c r="U118" i="3"/>
  <c r="T118" i="3"/>
  <c r="S118" i="3"/>
  <c r="P118" i="3"/>
  <c r="O118" i="3"/>
  <c r="N118" i="3"/>
  <c r="AL118" i="3" s="1"/>
  <c r="L118" i="3"/>
  <c r="J118" i="3"/>
  <c r="I118" i="3"/>
  <c r="H118" i="3"/>
  <c r="K118" i="3" s="1"/>
  <c r="G118" i="3"/>
  <c r="M118" i="3" s="1"/>
  <c r="F118" i="3"/>
  <c r="D118" i="3"/>
  <c r="C118" i="3"/>
  <c r="B118" i="3"/>
  <c r="AI117" i="3"/>
  <c r="AH117" i="3"/>
  <c r="AG117" i="3"/>
  <c r="V118" i="3" a="1"/>
  <c r="AE118" i="3" a="1"/>
  <c r="AF118" i="3" a="1"/>
  <c r="AF118" i="3" l="1"/>
  <c r="AE118" i="3"/>
  <c r="V118" i="3"/>
  <c r="R118" i="3"/>
  <c r="Q118" i="3"/>
  <c r="AK118" i="3"/>
  <c r="AM118" i="3"/>
  <c r="X118" i="3" a="1"/>
  <c r="X118" i="3" s="1"/>
  <c r="Z118" i="3" l="1"/>
  <c r="AA118" i="3"/>
  <c r="Y118" i="3"/>
  <c r="E118" i="3" s="1" a="1"/>
  <c r="E118" i="3" s="1"/>
  <c r="AD117" i="3"/>
  <c r="AC117" i="3"/>
  <c r="AB117" i="3" a="1"/>
  <c r="AB117" i="3"/>
  <c r="W117" i="3" a="1"/>
  <c r="W117" i="3"/>
  <c r="U117" i="3"/>
  <c r="T117" i="3"/>
  <c r="S117" i="3"/>
  <c r="Q117" i="3"/>
  <c r="P117" i="3"/>
  <c r="O117" i="3"/>
  <c r="N117" i="3"/>
  <c r="AL117" i="3" s="1"/>
  <c r="L117" i="3"/>
  <c r="J117" i="3"/>
  <c r="I117" i="3"/>
  <c r="H117" i="3"/>
  <c r="G117" i="3"/>
  <c r="M117" i="3" s="1"/>
  <c r="F117" i="3"/>
  <c r="D117" i="3"/>
  <c r="C117" i="3"/>
  <c r="B117" i="3"/>
  <c r="AI116" i="3"/>
  <c r="AH116" i="3"/>
  <c r="AG116" i="3"/>
  <c r="V117" i="3" a="1"/>
  <c r="AE117" i="3" a="1"/>
  <c r="AF117" i="3" a="1"/>
  <c r="AF117" i="3" l="1"/>
  <c r="AE117" i="3"/>
  <c r="V117" i="3"/>
  <c r="K117" i="3"/>
  <c r="R117" i="3" s="1"/>
  <c r="AK117" i="3"/>
  <c r="AM117" i="3"/>
  <c r="X117" i="3" a="1"/>
  <c r="X117" i="3" s="1"/>
  <c r="AA117" i="3" l="1"/>
  <c r="Z117" i="3"/>
  <c r="Y117" i="3"/>
  <c r="E117" i="3" a="1"/>
  <c r="E117" i="3" s="1"/>
  <c r="AD116" i="3"/>
  <c r="AC116" i="3"/>
  <c r="AB116" i="3" a="1"/>
  <c r="AB116" i="3"/>
  <c r="W116" i="3" a="1"/>
  <c r="W116" i="3"/>
  <c r="U116" i="3"/>
  <c r="T116" i="3"/>
  <c r="S116" i="3"/>
  <c r="P116" i="3"/>
  <c r="O116" i="3"/>
  <c r="N116" i="3"/>
  <c r="AL116" i="3" s="1"/>
  <c r="L116" i="3"/>
  <c r="J116" i="3"/>
  <c r="I116" i="3"/>
  <c r="H116" i="3"/>
  <c r="K116" i="3" s="1"/>
  <c r="R116" i="3" s="1"/>
  <c r="G116" i="3"/>
  <c r="M116" i="3" s="1"/>
  <c r="F116" i="3"/>
  <c r="D116" i="3"/>
  <c r="C116" i="3"/>
  <c r="B116" i="3"/>
  <c r="AI115" i="3"/>
  <c r="AH115" i="3"/>
  <c r="AG115" i="3"/>
  <c r="V116" i="3" a="1"/>
  <c r="AE116" i="3" a="1"/>
  <c r="AF116" i="3" a="1"/>
  <c r="AF116" i="3" l="1"/>
  <c r="AE116" i="3"/>
  <c r="V116" i="3"/>
  <c r="Q116" i="3"/>
  <c r="AK116" i="3"/>
  <c r="AM116" i="3"/>
  <c r="X116" i="3" a="1"/>
  <c r="X116" i="3" s="1"/>
  <c r="AA116" i="3" l="1"/>
  <c r="Z116" i="3"/>
  <c r="Y116" i="3"/>
  <c r="E116" i="3" s="1" a="1"/>
  <c r="E116" i="3" s="1"/>
  <c r="AD115" i="3"/>
  <c r="AC115" i="3"/>
  <c r="AB115" i="3" a="1"/>
  <c r="AB115" i="3"/>
  <c r="W115" i="3" a="1"/>
  <c r="W115" i="3"/>
  <c r="U115" i="3"/>
  <c r="T115" i="3"/>
  <c r="S115" i="3"/>
  <c r="Q115" i="3"/>
  <c r="P115" i="3"/>
  <c r="O115" i="3"/>
  <c r="N115" i="3"/>
  <c r="AL115" i="3" s="1"/>
  <c r="L115" i="3"/>
  <c r="J115" i="3"/>
  <c r="I115" i="3"/>
  <c r="H115" i="3"/>
  <c r="G115" i="3"/>
  <c r="F115" i="3"/>
  <c r="D115" i="3"/>
  <c r="C115" i="3"/>
  <c r="B115" i="3"/>
  <c r="AI114" i="3"/>
  <c r="AH114" i="3"/>
  <c r="AG114" i="3"/>
  <c r="V115" i="3" a="1"/>
  <c r="AE115" i="3" a="1"/>
  <c r="AF115" i="3" a="1"/>
  <c r="AF115" i="3" l="1"/>
  <c r="AE115" i="3"/>
  <c r="V115" i="3"/>
  <c r="K115" i="3"/>
  <c r="R115" i="3" s="1"/>
  <c r="M115" i="3"/>
  <c r="AK115" i="3"/>
  <c r="AM115" i="3"/>
  <c r="X115" i="3" a="1"/>
  <c r="X115" i="3" s="1"/>
  <c r="AA115" i="3" l="1"/>
  <c r="Z115" i="3"/>
  <c r="Y115" i="3"/>
  <c r="E115" i="3" s="1" a="1"/>
  <c r="E115" i="3" s="1"/>
  <c r="AD114" i="3"/>
  <c r="AC114" i="3"/>
  <c r="AB114" i="3" a="1"/>
  <c r="AB114" i="3"/>
  <c r="W114" i="3" a="1"/>
  <c r="W114" i="3"/>
  <c r="U114" i="3"/>
  <c r="T114" i="3"/>
  <c r="S114" i="3"/>
  <c r="P114" i="3"/>
  <c r="O114" i="3"/>
  <c r="N114" i="3"/>
  <c r="AL114" i="3" s="1"/>
  <c r="L114" i="3"/>
  <c r="J114" i="3"/>
  <c r="I114" i="3"/>
  <c r="H114" i="3"/>
  <c r="G114" i="3"/>
  <c r="M114" i="3" s="1"/>
  <c r="F114" i="3"/>
  <c r="D114" i="3"/>
  <c r="C114" i="3"/>
  <c r="B114" i="3"/>
  <c r="AI113" i="3"/>
  <c r="AH113" i="3"/>
  <c r="AG113" i="3"/>
  <c r="V114" i="3" a="1"/>
  <c r="AE114" i="3" a="1"/>
  <c r="AF114" i="3" a="1"/>
  <c r="AF114" i="3" l="1"/>
  <c r="AE114" i="3"/>
  <c r="V114" i="3"/>
  <c r="K114" i="3"/>
  <c r="R114" i="3" s="1"/>
  <c r="Q114" i="3"/>
  <c r="AK114" i="3"/>
  <c r="AM114" i="3"/>
  <c r="X114" i="3" a="1"/>
  <c r="X114" i="3" s="1"/>
  <c r="AA114" i="3" l="1"/>
  <c r="Z114" i="3"/>
  <c r="Y114" i="3"/>
  <c r="E114" i="3" s="1" a="1"/>
  <c r="E114" i="3" s="1"/>
  <c r="AD113" i="3"/>
  <c r="AC113" i="3"/>
  <c r="AB113" i="3" a="1"/>
  <c r="AB113" i="3"/>
  <c r="W113" i="3" a="1"/>
  <c r="W113" i="3"/>
  <c r="U113" i="3"/>
  <c r="T113" i="3"/>
  <c r="S113" i="3"/>
  <c r="P113" i="3"/>
  <c r="O113" i="3"/>
  <c r="N113" i="3"/>
  <c r="AL113" i="3" s="1"/>
  <c r="L113" i="3"/>
  <c r="J113" i="3"/>
  <c r="I113" i="3"/>
  <c r="H113" i="3"/>
  <c r="K113" i="3" s="1"/>
  <c r="G113" i="3"/>
  <c r="M113" i="3" s="1"/>
  <c r="F113" i="3"/>
  <c r="D113" i="3"/>
  <c r="C113" i="3"/>
  <c r="B113" i="3"/>
  <c r="AI112" i="3"/>
  <c r="AH112" i="3"/>
  <c r="AG112" i="3"/>
  <c r="V113" i="3" a="1"/>
  <c r="AE113" i="3" a="1"/>
  <c r="AF113" i="3" a="1"/>
  <c r="AF113" i="3" l="1"/>
  <c r="AE113" i="3"/>
  <c r="V113" i="3"/>
  <c r="R113" i="3"/>
  <c r="Q113" i="3"/>
  <c r="AK113" i="3"/>
  <c r="AM113" i="3"/>
  <c r="X113" i="3" a="1"/>
  <c r="X113" i="3" s="1"/>
  <c r="AA113" i="3" l="1"/>
  <c r="Z113" i="3"/>
  <c r="Y113" i="3"/>
  <c r="E113" i="3" s="1" a="1"/>
  <c r="E113" i="3" s="1"/>
  <c r="AD112" i="3"/>
  <c r="AC112" i="3"/>
  <c r="AB112" i="3" a="1"/>
  <c r="AB112" i="3"/>
  <c r="W112" i="3" a="1"/>
  <c r="W112" i="3"/>
  <c r="U112" i="3"/>
  <c r="T112" i="3"/>
  <c r="S112" i="3"/>
  <c r="Q112" i="3"/>
  <c r="P112" i="3"/>
  <c r="O112" i="3"/>
  <c r="N112" i="3"/>
  <c r="AL112" i="3" s="1"/>
  <c r="L112" i="3"/>
  <c r="J112" i="3"/>
  <c r="I112" i="3"/>
  <c r="H112" i="3"/>
  <c r="G112" i="3"/>
  <c r="M112" i="3" s="1"/>
  <c r="F112" i="3"/>
  <c r="D112" i="3"/>
  <c r="C112" i="3"/>
  <c r="B112" i="3"/>
  <c r="AI111" i="3"/>
  <c r="AH111" i="3"/>
  <c r="AG111" i="3"/>
  <c r="V112" i="3" a="1"/>
  <c r="AE112" i="3" a="1"/>
  <c r="AF112" i="3" a="1"/>
  <c r="AF112" i="3" l="1"/>
  <c r="AE112" i="3"/>
  <c r="V112" i="3"/>
  <c r="K112" i="3"/>
  <c r="R112" i="3" s="1"/>
  <c r="AK112" i="3"/>
  <c r="AM112" i="3"/>
  <c r="X112" i="3" a="1"/>
  <c r="X112" i="3" s="1"/>
  <c r="AA112" i="3" l="1"/>
  <c r="Z112" i="3"/>
  <c r="Y112" i="3"/>
  <c r="E112" i="3" a="1"/>
  <c r="E112" i="3" s="1"/>
  <c r="AD111" i="3"/>
  <c r="AC111" i="3"/>
  <c r="AB111" i="3" a="1"/>
  <c r="AB111" i="3"/>
  <c r="W111" i="3" a="1"/>
  <c r="W111" i="3"/>
  <c r="U111" i="3"/>
  <c r="T111" i="3"/>
  <c r="S111" i="3"/>
  <c r="P111" i="3"/>
  <c r="O111" i="3"/>
  <c r="N111" i="3"/>
  <c r="AL111" i="3" s="1"/>
  <c r="L111" i="3"/>
  <c r="J111" i="3"/>
  <c r="I111" i="3"/>
  <c r="H111" i="3"/>
  <c r="K111" i="3" s="1"/>
  <c r="G111" i="3"/>
  <c r="F111" i="3"/>
  <c r="D111" i="3"/>
  <c r="C111" i="3"/>
  <c r="B111" i="3"/>
  <c r="AI110" i="3"/>
  <c r="AH110" i="3"/>
  <c r="AG110" i="3"/>
  <c r="V111" i="3" a="1"/>
  <c r="AE111" i="3" a="1"/>
  <c r="AF111" i="3" a="1"/>
  <c r="AF111" i="3" l="1"/>
  <c r="AE111" i="3"/>
  <c r="V111" i="3"/>
  <c r="Q111" i="3"/>
  <c r="M111" i="3"/>
  <c r="AK111" i="3"/>
  <c r="AM111" i="3"/>
  <c r="X111" i="3" a="1"/>
  <c r="X111" i="3" s="1"/>
  <c r="R111" i="3" l="1"/>
  <c r="E111" i="3" s="1" a="1"/>
  <c r="E111" i="3" s="1"/>
  <c r="AA111" i="3"/>
  <c r="Z111" i="3"/>
  <c r="Y111" i="3"/>
  <c r="AD110" i="3"/>
  <c r="AC110" i="3"/>
  <c r="AB110" i="3" a="1"/>
  <c r="AB110" i="3"/>
  <c r="W110" i="3" a="1"/>
  <c r="W110" i="3"/>
  <c r="U110" i="3"/>
  <c r="T110" i="3"/>
  <c r="S110" i="3"/>
  <c r="P110" i="3"/>
  <c r="O110" i="3"/>
  <c r="N110" i="3"/>
  <c r="AL110" i="3" s="1"/>
  <c r="L110" i="3"/>
  <c r="J110" i="3"/>
  <c r="I110" i="3"/>
  <c r="H110" i="3"/>
  <c r="Q110" i="3" s="1"/>
  <c r="G110" i="3"/>
  <c r="F110" i="3"/>
  <c r="M110" i="3" s="1"/>
  <c r="D110" i="3"/>
  <c r="C110" i="3"/>
  <c r="B110" i="3"/>
  <c r="AI109" i="3"/>
  <c r="AH109" i="3"/>
  <c r="AG109" i="3"/>
  <c r="V110" i="3" a="1"/>
  <c r="AE110" i="3" a="1"/>
  <c r="AF110" i="3" a="1"/>
  <c r="AF110" i="3" l="1"/>
  <c r="AE110" i="3"/>
  <c r="V110" i="3"/>
  <c r="K110" i="3"/>
  <c r="R110" i="3" s="1"/>
  <c r="AK110" i="3"/>
  <c r="AM110" i="3"/>
  <c r="X110" i="3" a="1"/>
  <c r="X110" i="3" s="1"/>
  <c r="AA110" i="3" l="1"/>
  <c r="Z110" i="3"/>
  <c r="Y110" i="3"/>
  <c r="E110" i="3" a="1"/>
  <c r="E110" i="3" s="1"/>
  <c r="AD109" i="3"/>
  <c r="AC109" i="3"/>
  <c r="AB109" i="3" a="1"/>
  <c r="AB109" i="3"/>
  <c r="W109" i="3" a="1"/>
  <c r="W109" i="3"/>
  <c r="U109" i="3"/>
  <c r="T109" i="3"/>
  <c r="S109" i="3"/>
  <c r="P109" i="3"/>
  <c r="O109" i="3"/>
  <c r="N109" i="3"/>
  <c r="AL109" i="3" s="1"/>
  <c r="L109" i="3"/>
  <c r="J109" i="3"/>
  <c r="I109" i="3"/>
  <c r="H109" i="3"/>
  <c r="Q109" i="3" s="1"/>
  <c r="G109" i="3"/>
  <c r="F109" i="3"/>
  <c r="D109" i="3"/>
  <c r="C109" i="3"/>
  <c r="B109" i="3"/>
  <c r="AI108" i="3"/>
  <c r="AH108" i="3"/>
  <c r="AG108" i="3"/>
  <c r="V109" i="3" a="1"/>
  <c r="AE109" i="3" a="1"/>
  <c r="AF109" i="3" a="1"/>
  <c r="AF109" i="3" l="1"/>
  <c r="AE109" i="3"/>
  <c r="V109" i="3"/>
  <c r="K109" i="3"/>
  <c r="M109" i="3"/>
  <c r="AK109" i="3"/>
  <c r="AM109" i="3"/>
  <c r="X109" i="3" a="1"/>
  <c r="X109" i="3" s="1"/>
  <c r="R109" i="3" l="1"/>
  <c r="AA109" i="3"/>
  <c r="Z109" i="3"/>
  <c r="Y109" i="3"/>
  <c r="E109" i="3" s="1" a="1"/>
  <c r="E109" i="3" s="1"/>
  <c r="AD108" i="3"/>
  <c r="AC108" i="3"/>
  <c r="AB108" i="3" a="1"/>
  <c r="AB108" i="3"/>
  <c r="W108" i="3" a="1"/>
  <c r="W108" i="3"/>
  <c r="U108" i="3"/>
  <c r="T108" i="3"/>
  <c r="S108" i="3"/>
  <c r="P108" i="3"/>
  <c r="O108" i="3"/>
  <c r="N108" i="3"/>
  <c r="AL108" i="3" s="1"/>
  <c r="L108" i="3"/>
  <c r="J108" i="3"/>
  <c r="I108" i="3"/>
  <c r="H108" i="3"/>
  <c r="Q108" i="3" s="1"/>
  <c r="G108" i="3"/>
  <c r="F108" i="3"/>
  <c r="D108" i="3"/>
  <c r="C108" i="3"/>
  <c r="B108" i="3"/>
  <c r="AI107" i="3"/>
  <c r="AH107" i="3"/>
  <c r="AG107" i="3"/>
  <c r="V108" i="3" a="1"/>
  <c r="AE108" i="3" a="1"/>
  <c r="AF108" i="3" a="1"/>
  <c r="AF108" i="3" l="1"/>
  <c r="AE108" i="3"/>
  <c r="V108" i="3"/>
  <c r="K108" i="3"/>
  <c r="M108" i="3"/>
  <c r="AK108" i="3"/>
  <c r="AM108" i="3"/>
  <c r="X108" i="3" a="1"/>
  <c r="X108" i="3" s="1"/>
  <c r="R108" i="3" l="1"/>
  <c r="E108" i="3" a="1"/>
  <c r="E108" i="3" s="1"/>
  <c r="AA108" i="3"/>
  <c r="Z108" i="3"/>
  <c r="Y108" i="3"/>
  <c r="AD107" i="3"/>
  <c r="AC107" i="3"/>
  <c r="AB107" i="3" a="1"/>
  <c r="AB107" i="3"/>
  <c r="W107" i="3" a="1"/>
  <c r="W107" i="3"/>
  <c r="U107" i="3"/>
  <c r="T107" i="3"/>
  <c r="S107" i="3"/>
  <c r="P107" i="3"/>
  <c r="O107" i="3"/>
  <c r="N107" i="3"/>
  <c r="AL107" i="3" s="1"/>
  <c r="L107" i="3"/>
  <c r="J107" i="3"/>
  <c r="I107" i="3"/>
  <c r="H107" i="3"/>
  <c r="K107" i="3" s="1"/>
  <c r="G107" i="3"/>
  <c r="F107" i="3"/>
  <c r="D107" i="3"/>
  <c r="C107" i="3"/>
  <c r="B107" i="3"/>
  <c r="AI106" i="3"/>
  <c r="AH106" i="3"/>
  <c r="AG106" i="3"/>
  <c r="V107" i="3" a="1"/>
  <c r="AE107" i="3" a="1"/>
  <c r="AF107" i="3" a="1"/>
  <c r="AF107" i="3" l="1"/>
  <c r="AE107" i="3"/>
  <c r="V107" i="3"/>
  <c r="Q107" i="3"/>
  <c r="M107" i="3"/>
  <c r="AK107" i="3"/>
  <c r="AM107" i="3"/>
  <c r="X107" i="3" a="1"/>
  <c r="X107" i="3" s="1"/>
  <c r="R107" i="3" l="1"/>
  <c r="E107" i="3" s="1" a="1"/>
  <c r="E107" i="3" s="1"/>
  <c r="AA107" i="3"/>
  <c r="Z107" i="3"/>
  <c r="Y107" i="3"/>
  <c r="AD106" i="3"/>
  <c r="AC106" i="3"/>
  <c r="AB106" i="3" a="1"/>
  <c r="AB106" i="3"/>
  <c r="W106" i="3" a="1"/>
  <c r="W106" i="3"/>
  <c r="U106" i="3"/>
  <c r="T106" i="3"/>
  <c r="S106" i="3"/>
  <c r="P106" i="3"/>
  <c r="O106" i="3"/>
  <c r="N106" i="3"/>
  <c r="AL106" i="3" s="1"/>
  <c r="L106" i="3"/>
  <c r="J106" i="3"/>
  <c r="I106" i="3"/>
  <c r="H106" i="3"/>
  <c r="Q106" i="3" s="1"/>
  <c r="G106" i="3"/>
  <c r="F106" i="3"/>
  <c r="M106" i="3" s="1"/>
  <c r="D106" i="3"/>
  <c r="C106" i="3"/>
  <c r="B106" i="3"/>
  <c r="AI105" i="3"/>
  <c r="AH105" i="3"/>
  <c r="AG105" i="3"/>
  <c r="V106" i="3" a="1"/>
  <c r="AE106" i="3" a="1"/>
  <c r="AF106" i="3" a="1"/>
  <c r="AF106" i="3" l="1"/>
  <c r="AE106" i="3"/>
  <c r="V106" i="3"/>
  <c r="K106" i="3"/>
  <c r="R106" i="3" s="1"/>
  <c r="AK106" i="3"/>
  <c r="AM106" i="3"/>
  <c r="X106" i="3" a="1"/>
  <c r="X106" i="3" s="1"/>
  <c r="AA106" i="3" l="1"/>
  <c r="Z106" i="3"/>
  <c r="Y106" i="3"/>
  <c r="E106" i="3" a="1"/>
  <c r="E106" i="3" s="1"/>
  <c r="AD105" i="3"/>
  <c r="AC105" i="3"/>
  <c r="AB105" i="3" a="1"/>
  <c r="AB105" i="3"/>
  <c r="W105" i="3" a="1"/>
  <c r="W105" i="3"/>
  <c r="U105" i="3"/>
  <c r="T105" i="3"/>
  <c r="S105" i="3"/>
  <c r="P105" i="3"/>
  <c r="O105" i="3"/>
  <c r="N105" i="3"/>
  <c r="AL105" i="3" s="1"/>
  <c r="L105" i="3"/>
  <c r="J105" i="3"/>
  <c r="I105" i="3"/>
  <c r="H105" i="3"/>
  <c r="K105" i="3" s="1"/>
  <c r="G105" i="3"/>
  <c r="F105" i="3"/>
  <c r="D105" i="3"/>
  <c r="C105" i="3"/>
  <c r="B105" i="3"/>
  <c r="AI104" i="3"/>
  <c r="AH104" i="3"/>
  <c r="AG104" i="3"/>
  <c r="V105" i="3" a="1"/>
  <c r="AE105" i="3" a="1"/>
  <c r="AF105" i="3" a="1"/>
  <c r="AF105" i="3" l="1"/>
  <c r="AE105" i="3"/>
  <c r="V105" i="3"/>
  <c r="Q105" i="3"/>
  <c r="M105" i="3"/>
  <c r="AK105" i="3"/>
  <c r="AM105" i="3"/>
  <c r="X105" i="3" a="1"/>
  <c r="X105" i="3" s="1"/>
  <c r="R105" i="3" l="1"/>
  <c r="E105" i="3" s="1" a="1"/>
  <c r="E105" i="3" s="1"/>
  <c r="AA105" i="3"/>
  <c r="Z105" i="3"/>
  <c r="Y105" i="3"/>
  <c r="AD104" i="3"/>
  <c r="AC104" i="3"/>
  <c r="AB104" i="3" a="1"/>
  <c r="AB104" i="3"/>
  <c r="W104" i="3" a="1"/>
  <c r="W104" i="3"/>
  <c r="U104" i="3"/>
  <c r="T104" i="3"/>
  <c r="S104" i="3"/>
  <c r="P104" i="3"/>
  <c r="O104" i="3"/>
  <c r="N104" i="3"/>
  <c r="AL104" i="3" s="1"/>
  <c r="L104" i="3"/>
  <c r="J104" i="3"/>
  <c r="I104" i="3"/>
  <c r="H104" i="3"/>
  <c r="K104" i="3" s="1"/>
  <c r="G104" i="3"/>
  <c r="M104" i="3" s="1"/>
  <c r="F104" i="3"/>
  <c r="D104" i="3"/>
  <c r="C104" i="3"/>
  <c r="B104" i="3"/>
  <c r="AI103" i="3"/>
  <c r="AH103" i="3"/>
  <c r="AG103" i="3"/>
  <c r="V104" i="3" a="1"/>
  <c r="AE104" i="3" a="1"/>
  <c r="AF104" i="3" a="1"/>
  <c r="AF104" i="3" l="1"/>
  <c r="AE104" i="3"/>
  <c r="V104" i="3"/>
  <c r="R104" i="3"/>
  <c r="Q104" i="3"/>
  <c r="AK104" i="3"/>
  <c r="AM104" i="3"/>
  <c r="X104" i="3" a="1"/>
  <c r="X104" i="3" s="1"/>
  <c r="AA104" i="3" l="1"/>
  <c r="Z104" i="3"/>
  <c r="Y104" i="3"/>
  <c r="E104" i="3" s="1" a="1"/>
  <c r="E104" i="3" s="1"/>
  <c r="AD103" i="3"/>
  <c r="AC103" i="3"/>
  <c r="AB103" i="3" a="1"/>
  <c r="AB103" i="3"/>
  <c r="W103" i="3" a="1"/>
  <c r="W103" i="3"/>
  <c r="U103" i="3"/>
  <c r="T103" i="3"/>
  <c r="S103" i="3"/>
  <c r="P103" i="3"/>
  <c r="O103" i="3"/>
  <c r="N103" i="3"/>
  <c r="AL103" i="3" s="1"/>
  <c r="L103" i="3"/>
  <c r="J103" i="3"/>
  <c r="I103" i="3"/>
  <c r="H103" i="3"/>
  <c r="Q103" i="3" s="1"/>
  <c r="G103" i="3"/>
  <c r="F103" i="3"/>
  <c r="D103" i="3"/>
  <c r="C103" i="3"/>
  <c r="B103" i="3"/>
  <c r="AI102" i="3"/>
  <c r="AH102" i="3"/>
  <c r="AG102" i="3"/>
  <c r="V103" i="3" a="1"/>
  <c r="AE103" i="3" a="1"/>
  <c r="AF103" i="3" a="1"/>
  <c r="AF103" i="3" l="1"/>
  <c r="AE103" i="3"/>
  <c r="V103" i="3"/>
  <c r="K103" i="3"/>
  <c r="M103" i="3"/>
  <c r="AK103" i="3"/>
  <c r="AM103" i="3"/>
  <c r="X103" i="3" a="1"/>
  <c r="X103" i="3" s="1"/>
  <c r="R103" i="3" l="1"/>
  <c r="AA103" i="3"/>
  <c r="Z103" i="3"/>
  <c r="Y103" i="3"/>
  <c r="E103" i="3" s="1" a="1"/>
  <c r="E103" i="3" s="1"/>
  <c r="AD102" i="3"/>
  <c r="AC102" i="3"/>
  <c r="AB102" i="3" a="1"/>
  <c r="AB102" i="3"/>
  <c r="W102" i="3" a="1"/>
  <c r="W102" i="3"/>
  <c r="U102" i="3"/>
  <c r="T102" i="3"/>
  <c r="S102" i="3"/>
  <c r="P102" i="3"/>
  <c r="O102" i="3"/>
  <c r="N102" i="3"/>
  <c r="AL102" i="3" s="1"/>
  <c r="L102" i="3"/>
  <c r="J102" i="3"/>
  <c r="I102" i="3"/>
  <c r="H102" i="3"/>
  <c r="Q102" i="3" s="1"/>
  <c r="G102" i="3"/>
  <c r="M102" i="3" s="1"/>
  <c r="F102" i="3"/>
  <c r="D102" i="3"/>
  <c r="C102" i="3"/>
  <c r="B102" i="3"/>
  <c r="AI101" i="3"/>
  <c r="AH101" i="3"/>
  <c r="AG101" i="3"/>
  <c r="V102" i="3" a="1"/>
  <c r="AE102" i="3" a="1"/>
  <c r="AF102" i="3" a="1"/>
  <c r="AF102" i="3" l="1"/>
  <c r="AE102" i="3"/>
  <c r="V102" i="3"/>
  <c r="K102" i="3"/>
  <c r="R102" i="3" s="1"/>
  <c r="AK102" i="3"/>
  <c r="AM102" i="3"/>
  <c r="X102" i="3" a="1"/>
  <c r="X102" i="3" s="1"/>
  <c r="AA102" i="3" l="1"/>
  <c r="Z102" i="3"/>
  <c r="Y102" i="3"/>
  <c r="E102" i="3" s="1" a="1"/>
  <c r="E102" i="3" s="1"/>
  <c r="AD101" i="3"/>
  <c r="AC101" i="3"/>
  <c r="AB101" i="3" a="1"/>
  <c r="AB101" i="3"/>
  <c r="W101" i="3" a="1"/>
  <c r="W101" i="3"/>
  <c r="U101" i="3"/>
  <c r="T101" i="3"/>
  <c r="S101" i="3"/>
  <c r="P101" i="3"/>
  <c r="O101" i="3"/>
  <c r="N101" i="3"/>
  <c r="AL101" i="3" s="1"/>
  <c r="L101" i="3"/>
  <c r="J101" i="3"/>
  <c r="I101" i="3"/>
  <c r="Q101" i="3" s="1"/>
  <c r="H101" i="3"/>
  <c r="G101" i="3"/>
  <c r="M101" i="3" s="1"/>
  <c r="F101" i="3"/>
  <c r="D101" i="3"/>
  <c r="C101" i="3"/>
  <c r="B101" i="3"/>
  <c r="AI100" i="3"/>
  <c r="AH100" i="3"/>
  <c r="AG100" i="3"/>
  <c r="V101" i="3" a="1"/>
  <c r="AE101" i="3" a="1"/>
  <c r="AF101" i="3" a="1"/>
  <c r="AF101" i="3" l="1"/>
  <c r="AE101" i="3"/>
  <c r="V101" i="3"/>
  <c r="K101" i="3"/>
  <c r="R101" i="3" s="1"/>
  <c r="AK101" i="3"/>
  <c r="AM101" i="3"/>
  <c r="X101" i="3" a="1"/>
  <c r="X101" i="3" s="1"/>
  <c r="AA101" i="3" l="1"/>
  <c r="Y101" i="3"/>
  <c r="Z101" i="3"/>
  <c r="E101" i="3" a="1"/>
  <c r="E101" i="3" s="1"/>
  <c r="AD100" i="3"/>
  <c r="AC100" i="3"/>
  <c r="AB100" i="3" a="1"/>
  <c r="AB100" i="3"/>
  <c r="W100" i="3" a="1"/>
  <c r="W100" i="3"/>
  <c r="U100" i="3"/>
  <c r="T100" i="3"/>
  <c r="S100" i="3"/>
  <c r="P100" i="3"/>
  <c r="O100" i="3"/>
  <c r="N100" i="3"/>
  <c r="AL100" i="3" s="1"/>
  <c r="L100" i="3"/>
  <c r="J100" i="3"/>
  <c r="I100" i="3"/>
  <c r="H100" i="3"/>
  <c r="K100" i="3" s="1"/>
  <c r="G100" i="3"/>
  <c r="F100" i="3"/>
  <c r="D100" i="3"/>
  <c r="C100" i="3"/>
  <c r="B100" i="3"/>
  <c r="AI99" i="3"/>
  <c r="AH99" i="3"/>
  <c r="AG99" i="3"/>
  <c r="V100" i="3" a="1"/>
  <c r="AE100" i="3" a="1"/>
  <c r="AF100" i="3" a="1"/>
  <c r="AF100" i="3" l="1"/>
  <c r="AE100" i="3"/>
  <c r="V100" i="3"/>
  <c r="Q100" i="3"/>
  <c r="M100" i="3"/>
  <c r="R100" i="3" s="1"/>
  <c r="AK100" i="3"/>
  <c r="AM100" i="3"/>
  <c r="X100" i="3" a="1"/>
  <c r="X100" i="3" s="1"/>
  <c r="Z100" i="3" l="1"/>
  <c r="AA100" i="3"/>
  <c r="Y100" i="3"/>
  <c r="E100" i="3" s="1" a="1"/>
  <c r="E100" i="3" s="1"/>
  <c r="AD99" i="3"/>
  <c r="AC99" i="3"/>
  <c r="AB99" i="3" a="1"/>
  <c r="AB99" i="3"/>
  <c r="W99" i="3" a="1"/>
  <c r="W99" i="3"/>
  <c r="U99" i="3"/>
  <c r="T99" i="3"/>
  <c r="S99" i="3"/>
  <c r="P99" i="3"/>
  <c r="O99" i="3"/>
  <c r="N99" i="3"/>
  <c r="AL99" i="3" s="1"/>
  <c r="L99" i="3"/>
  <c r="J99" i="3"/>
  <c r="I99" i="3"/>
  <c r="H99" i="3"/>
  <c r="K99" i="3" s="1"/>
  <c r="G99" i="3"/>
  <c r="F99" i="3"/>
  <c r="D99" i="3"/>
  <c r="C99" i="3"/>
  <c r="B99" i="3"/>
  <c r="AI98" i="3"/>
  <c r="AH98" i="3"/>
  <c r="AG98" i="3"/>
  <c r="V99" i="3" a="1"/>
  <c r="AE99" i="3" a="1"/>
  <c r="AF99" i="3" a="1"/>
  <c r="AF99" i="3" l="1"/>
  <c r="AE99" i="3"/>
  <c r="V99" i="3"/>
  <c r="Q99" i="3"/>
  <c r="M99" i="3"/>
  <c r="AK99" i="3"/>
  <c r="AM99" i="3"/>
  <c r="X99" i="3" a="1"/>
  <c r="X99" i="3" s="1"/>
  <c r="R99" i="3" l="1"/>
  <c r="E99" i="3" s="1" a="1"/>
  <c r="E99" i="3" s="1"/>
  <c r="AA99" i="3"/>
  <c r="Z99" i="3"/>
  <c r="Y99" i="3"/>
  <c r="AD98" i="3"/>
  <c r="AC98" i="3"/>
  <c r="AB98" i="3" a="1"/>
  <c r="AB98" i="3"/>
  <c r="W98" i="3" a="1"/>
  <c r="W98" i="3"/>
  <c r="U98" i="3"/>
  <c r="T98" i="3"/>
  <c r="S98" i="3"/>
  <c r="P98" i="3"/>
  <c r="O98" i="3"/>
  <c r="N98" i="3"/>
  <c r="AL98" i="3" s="1"/>
  <c r="L98" i="3"/>
  <c r="J98" i="3"/>
  <c r="I98" i="3"/>
  <c r="Q98" i="3" s="1"/>
  <c r="H98" i="3"/>
  <c r="G98" i="3"/>
  <c r="F98" i="3"/>
  <c r="D98" i="3"/>
  <c r="C98" i="3"/>
  <c r="B98" i="3"/>
  <c r="AI97" i="3"/>
  <c r="AH97" i="3"/>
  <c r="AG97" i="3"/>
  <c r="V98" i="3" a="1"/>
  <c r="AE98" i="3" a="1"/>
  <c r="AF98" i="3" a="1"/>
  <c r="AF98" i="3" l="1"/>
  <c r="AE98" i="3"/>
  <c r="V98" i="3"/>
  <c r="K98" i="3"/>
  <c r="M98" i="3"/>
  <c r="AK98" i="3"/>
  <c r="AM98" i="3"/>
  <c r="X98" i="3" a="1"/>
  <c r="X98" i="3" s="1"/>
  <c r="R98" i="3" l="1"/>
  <c r="E98" i="3" s="1" a="1"/>
  <c r="E98" i="3" s="1"/>
  <c r="AA98" i="3"/>
  <c r="Z98" i="3"/>
  <c r="Y98" i="3"/>
  <c r="AD97" i="3"/>
  <c r="AC97" i="3"/>
  <c r="AB97" i="3" a="1"/>
  <c r="AB97" i="3"/>
  <c r="W97" i="3" a="1"/>
  <c r="W97" i="3"/>
  <c r="U97" i="3"/>
  <c r="T97" i="3"/>
  <c r="S97" i="3"/>
  <c r="P97" i="3"/>
  <c r="O97" i="3"/>
  <c r="N97" i="3"/>
  <c r="AL97" i="3" s="1"/>
  <c r="L97" i="3"/>
  <c r="J97" i="3"/>
  <c r="I97" i="3"/>
  <c r="H97" i="3"/>
  <c r="K97" i="3" s="1"/>
  <c r="G97" i="3"/>
  <c r="M97" i="3" s="1"/>
  <c r="F97" i="3"/>
  <c r="D97" i="3"/>
  <c r="C97" i="3"/>
  <c r="B97" i="3"/>
  <c r="AI96" i="3"/>
  <c r="AH96" i="3"/>
  <c r="AG96" i="3"/>
  <c r="V97" i="3" a="1"/>
  <c r="AE97" i="3" a="1"/>
  <c r="AF97" i="3" a="1"/>
  <c r="AF97" i="3" l="1"/>
  <c r="AE97" i="3"/>
  <c r="V97" i="3"/>
  <c r="R97" i="3"/>
  <c r="Q97" i="3"/>
  <c r="AK97" i="3"/>
  <c r="AM97" i="3"/>
  <c r="X97" i="3" a="1"/>
  <c r="X97" i="3" s="1"/>
  <c r="AA97" i="3" l="1"/>
  <c r="Z97" i="3"/>
  <c r="Y97" i="3"/>
  <c r="E97" i="3" s="1" a="1"/>
  <c r="E97" i="3" s="1"/>
  <c r="AD96" i="3"/>
  <c r="AC96" i="3"/>
  <c r="AB96" i="3" a="1"/>
  <c r="AB96" i="3"/>
  <c r="W96" i="3" a="1"/>
  <c r="W96" i="3"/>
  <c r="U96" i="3"/>
  <c r="T96" i="3"/>
  <c r="S96" i="3"/>
  <c r="P96" i="3"/>
  <c r="O96" i="3"/>
  <c r="N96" i="3"/>
  <c r="AL96" i="3" s="1"/>
  <c r="L96" i="3"/>
  <c r="J96" i="3"/>
  <c r="I96" i="3"/>
  <c r="K96" i="3" s="1"/>
  <c r="H96" i="3"/>
  <c r="G96" i="3"/>
  <c r="F96" i="3"/>
  <c r="D96" i="3"/>
  <c r="C96" i="3"/>
  <c r="B96" i="3"/>
  <c r="AI95" i="3"/>
  <c r="AH95" i="3"/>
  <c r="AG95" i="3"/>
  <c r="V96" i="3" a="1"/>
  <c r="AE96" i="3" a="1"/>
  <c r="AF96" i="3" a="1"/>
  <c r="AF96" i="3" l="1"/>
  <c r="AE96" i="3"/>
  <c r="V96" i="3"/>
  <c r="Q96" i="3"/>
  <c r="M96" i="3"/>
  <c r="AK96" i="3"/>
  <c r="AM96" i="3"/>
  <c r="X96" i="3" a="1"/>
  <c r="X96" i="3" s="1"/>
  <c r="R96" i="3" l="1"/>
  <c r="E96" i="3" s="1" a="1"/>
  <c r="E96" i="3" s="1"/>
  <c r="AA96" i="3"/>
  <c r="Z96" i="3"/>
  <c r="Y96" i="3"/>
  <c r="AD95" i="3"/>
  <c r="AC95" i="3"/>
  <c r="AB95" i="3" a="1"/>
  <c r="AB95" i="3"/>
  <c r="W95" i="3" a="1"/>
  <c r="W95" i="3"/>
  <c r="U95" i="3"/>
  <c r="T95" i="3"/>
  <c r="S95" i="3"/>
  <c r="Q95" i="3"/>
  <c r="P95" i="3"/>
  <c r="O95" i="3"/>
  <c r="N95" i="3"/>
  <c r="AL95" i="3" s="1"/>
  <c r="L95" i="3"/>
  <c r="J95" i="3"/>
  <c r="I95" i="3"/>
  <c r="H95" i="3"/>
  <c r="G95" i="3"/>
  <c r="M95" i="3" s="1"/>
  <c r="F95" i="3"/>
  <c r="D95" i="3"/>
  <c r="C95" i="3"/>
  <c r="B95" i="3"/>
  <c r="AI94" i="3"/>
  <c r="AH94" i="3"/>
  <c r="AG94" i="3"/>
  <c r="V95" i="3" a="1"/>
  <c r="AE95" i="3" a="1"/>
  <c r="AF95" i="3" a="1"/>
  <c r="AF95" i="3" l="1"/>
  <c r="AE95" i="3"/>
  <c r="V95" i="3"/>
  <c r="K95" i="3"/>
  <c r="R95" i="3" s="1"/>
  <c r="AK95" i="3"/>
  <c r="AM95" i="3"/>
  <c r="X95" i="3" a="1"/>
  <c r="X95" i="3" s="1"/>
  <c r="AA95" i="3" l="1"/>
  <c r="Z95" i="3"/>
  <c r="Y95" i="3"/>
  <c r="E95" i="3" a="1"/>
  <c r="E95" i="3" s="1"/>
  <c r="AD94" i="3"/>
  <c r="AC94" i="3"/>
  <c r="AB94" i="3" a="1"/>
  <c r="AB94" i="3"/>
  <c r="W94" i="3" a="1"/>
  <c r="W94" i="3"/>
  <c r="U94" i="3"/>
  <c r="T94" i="3"/>
  <c r="S94" i="3"/>
  <c r="P94" i="3"/>
  <c r="O94" i="3"/>
  <c r="N94" i="3"/>
  <c r="AL94" i="3" s="1"/>
  <c r="L94" i="3"/>
  <c r="J94" i="3"/>
  <c r="I94" i="3"/>
  <c r="H94" i="3"/>
  <c r="K94" i="3" s="1"/>
  <c r="G94" i="3"/>
  <c r="F94" i="3"/>
  <c r="D94" i="3"/>
  <c r="C94" i="3"/>
  <c r="B94" i="3"/>
  <c r="AI93" i="3"/>
  <c r="AH93" i="3"/>
  <c r="AG93" i="3"/>
  <c r="V94" i="3" a="1"/>
  <c r="AE94" i="3" a="1"/>
  <c r="AF94" i="3" a="1"/>
  <c r="AF94" i="3" l="1"/>
  <c r="AE94" i="3"/>
  <c r="V94" i="3"/>
  <c r="Q94" i="3"/>
  <c r="M94" i="3"/>
  <c r="AK94" i="3"/>
  <c r="AM94" i="3"/>
  <c r="X94" i="3" a="1"/>
  <c r="X94" i="3" s="1"/>
  <c r="R94" i="3" l="1"/>
  <c r="E94" i="3" s="1" a="1"/>
  <c r="E94" i="3" s="1"/>
  <c r="AA94" i="3"/>
  <c r="Z94" i="3"/>
  <c r="Y94" i="3"/>
  <c r="AD93" i="3"/>
  <c r="AC93" i="3"/>
  <c r="AB93" i="3" a="1"/>
  <c r="AB93" i="3"/>
  <c r="W93" i="3" a="1"/>
  <c r="W93" i="3"/>
  <c r="U93" i="3"/>
  <c r="T93" i="3"/>
  <c r="S93" i="3"/>
  <c r="Q93" i="3"/>
  <c r="P93" i="3"/>
  <c r="O93" i="3"/>
  <c r="N93" i="3"/>
  <c r="AL93" i="3" s="1"/>
  <c r="L93" i="3"/>
  <c r="J93" i="3"/>
  <c r="I93" i="3"/>
  <c r="H93" i="3"/>
  <c r="G93" i="3"/>
  <c r="F93" i="3"/>
  <c r="D93" i="3"/>
  <c r="C93" i="3"/>
  <c r="B93" i="3"/>
  <c r="AI92" i="3"/>
  <c r="AH92" i="3"/>
  <c r="AG92" i="3"/>
  <c r="V93" i="3" a="1"/>
  <c r="AE93" i="3" a="1"/>
  <c r="AF93" i="3" a="1"/>
  <c r="AF93" i="3" l="1"/>
  <c r="AE93" i="3"/>
  <c r="V93" i="3"/>
  <c r="K93" i="3"/>
  <c r="R93" i="3" s="1"/>
  <c r="M93" i="3"/>
  <c r="AK93" i="3"/>
  <c r="AM93" i="3"/>
  <c r="X93" i="3" a="1"/>
  <c r="X93" i="3" s="1"/>
  <c r="AA93" i="3" l="1"/>
  <c r="Z93" i="3"/>
  <c r="Y93" i="3"/>
  <c r="E93" i="3" s="1" a="1"/>
  <c r="E93" i="3" s="1"/>
  <c r="AD92" i="3"/>
  <c r="AC92" i="3"/>
  <c r="AB92" i="3" a="1"/>
  <c r="AB92" i="3"/>
  <c r="W92" i="3" a="1"/>
  <c r="W92" i="3"/>
  <c r="U92" i="3"/>
  <c r="T92" i="3"/>
  <c r="S92" i="3"/>
  <c r="P92" i="3"/>
  <c r="O92" i="3"/>
  <c r="N92" i="3"/>
  <c r="AL92" i="3" s="1"/>
  <c r="L92" i="3"/>
  <c r="J92" i="3"/>
  <c r="I92" i="3"/>
  <c r="H92" i="3"/>
  <c r="K92" i="3" s="1"/>
  <c r="G92" i="3"/>
  <c r="F92" i="3"/>
  <c r="D92" i="3"/>
  <c r="C92" i="3"/>
  <c r="B92" i="3"/>
  <c r="AI91" i="3"/>
  <c r="AH91" i="3"/>
  <c r="AG91" i="3"/>
  <c r="V92" i="3" a="1"/>
  <c r="AE92" i="3" a="1"/>
  <c r="AF92" i="3" a="1"/>
  <c r="AF92" i="3" l="1"/>
  <c r="AE92" i="3"/>
  <c r="V92" i="3"/>
  <c r="Q92" i="3"/>
  <c r="M92" i="3"/>
  <c r="AK92" i="3"/>
  <c r="AM92" i="3"/>
  <c r="X92" i="3" a="1"/>
  <c r="X92" i="3" s="1"/>
  <c r="R92" i="3" l="1"/>
  <c r="E92" i="3" s="1" a="1"/>
  <c r="E92" i="3" s="1"/>
  <c r="AA92" i="3"/>
  <c r="Z92" i="3"/>
  <c r="Y92" i="3"/>
  <c r="AD91" i="3"/>
  <c r="AC91" i="3"/>
  <c r="AB91" i="3" a="1"/>
  <c r="AB91" i="3"/>
  <c r="W91" i="3" a="1"/>
  <c r="W91" i="3"/>
  <c r="U91" i="3"/>
  <c r="T91" i="3"/>
  <c r="S91" i="3"/>
  <c r="P91" i="3"/>
  <c r="O91" i="3"/>
  <c r="N91" i="3"/>
  <c r="AL91" i="3" s="1"/>
  <c r="L91" i="3"/>
  <c r="J91" i="3"/>
  <c r="I91" i="3"/>
  <c r="H91" i="3"/>
  <c r="K91" i="3" s="1"/>
  <c r="G91" i="3"/>
  <c r="F91" i="3"/>
  <c r="D91" i="3"/>
  <c r="C91" i="3"/>
  <c r="B91" i="3"/>
  <c r="AI90" i="3"/>
  <c r="AH90" i="3"/>
  <c r="AG90" i="3"/>
  <c r="V91" i="3" a="1"/>
  <c r="AE91" i="3" a="1"/>
  <c r="AF91" i="3" a="1"/>
  <c r="AF91" i="3" l="1"/>
  <c r="AE91" i="3"/>
  <c r="V91" i="3"/>
  <c r="Q91" i="3"/>
  <c r="M91" i="3"/>
  <c r="R91" i="3" s="1"/>
  <c r="AK91" i="3"/>
  <c r="AM91" i="3"/>
  <c r="X91" i="3" a="1"/>
  <c r="X91" i="3" s="1"/>
  <c r="AA91" i="3" l="1"/>
  <c r="Z91" i="3"/>
  <c r="Y91" i="3"/>
  <c r="E91" i="3" s="1" a="1"/>
  <c r="E91" i="3" s="1"/>
  <c r="AD90" i="3"/>
  <c r="AC90" i="3"/>
  <c r="AB90" i="3" a="1"/>
  <c r="AB90" i="3"/>
  <c r="W90" i="3" a="1"/>
  <c r="W90" i="3"/>
  <c r="U90" i="3"/>
  <c r="T90" i="3"/>
  <c r="S90" i="3"/>
  <c r="P90" i="3"/>
  <c r="O90" i="3"/>
  <c r="N90" i="3"/>
  <c r="AL90" i="3" s="1"/>
  <c r="L90" i="3"/>
  <c r="J90" i="3"/>
  <c r="I90" i="3"/>
  <c r="H90" i="3"/>
  <c r="K90" i="3" s="1"/>
  <c r="G90" i="3"/>
  <c r="F90" i="3"/>
  <c r="D90" i="3"/>
  <c r="C90" i="3"/>
  <c r="B90" i="3"/>
  <c r="AI89" i="3"/>
  <c r="AH89" i="3"/>
  <c r="AG89" i="3"/>
  <c r="V90" i="3" a="1"/>
  <c r="AE90" i="3" a="1"/>
  <c r="AF90" i="3" a="1"/>
  <c r="AF90" i="3" l="1"/>
  <c r="AE90" i="3"/>
  <c r="V90" i="3"/>
  <c r="Q90" i="3"/>
  <c r="M90" i="3"/>
  <c r="R90" i="3" s="1"/>
  <c r="AK90" i="3"/>
  <c r="AM90" i="3"/>
  <c r="X90" i="3" a="1"/>
  <c r="X90" i="3" s="1"/>
  <c r="AA90" i="3" l="1"/>
  <c r="Z90" i="3"/>
  <c r="Y90" i="3"/>
  <c r="E90" i="3" s="1" a="1"/>
  <c r="E90" i="3" s="1"/>
  <c r="AD89" i="3"/>
  <c r="AC89" i="3"/>
  <c r="AB89" i="3" a="1"/>
  <c r="AB89" i="3"/>
  <c r="W89" i="3" a="1"/>
  <c r="W89" i="3"/>
  <c r="U89" i="3"/>
  <c r="T89" i="3"/>
  <c r="S89" i="3"/>
  <c r="P89" i="3"/>
  <c r="O89" i="3"/>
  <c r="N89" i="3"/>
  <c r="AL89" i="3" s="1"/>
  <c r="L89" i="3"/>
  <c r="J89" i="3"/>
  <c r="I89" i="3"/>
  <c r="H89" i="3"/>
  <c r="K89" i="3" s="1"/>
  <c r="G89" i="3"/>
  <c r="M89" i="3" s="1"/>
  <c r="F89" i="3"/>
  <c r="D89" i="3"/>
  <c r="C89" i="3"/>
  <c r="B89" i="3"/>
  <c r="AI88" i="3"/>
  <c r="AH88" i="3"/>
  <c r="AG88" i="3"/>
  <c r="V89" i="3" a="1"/>
  <c r="AE89" i="3" a="1"/>
  <c r="AF89" i="3" a="1"/>
  <c r="AF89" i="3" l="1"/>
  <c r="AE89" i="3"/>
  <c r="V89" i="3"/>
  <c r="R89" i="3"/>
  <c r="Q89" i="3"/>
  <c r="AK89" i="3"/>
  <c r="AM89" i="3"/>
  <c r="X89" i="3" a="1"/>
  <c r="X89" i="3" s="1"/>
  <c r="AA89" i="3" l="1"/>
  <c r="Z89" i="3"/>
  <c r="Y89" i="3"/>
  <c r="E89" i="3" s="1" a="1"/>
  <c r="E89" i="3" s="1"/>
  <c r="AD88" i="3"/>
  <c r="AC88" i="3"/>
  <c r="AB88" i="3" a="1"/>
  <c r="AB88" i="3"/>
  <c r="W88" i="3" a="1"/>
  <c r="W88" i="3"/>
  <c r="U88" i="3"/>
  <c r="T88" i="3"/>
  <c r="S88" i="3"/>
  <c r="P88" i="3"/>
  <c r="O88" i="3"/>
  <c r="N88" i="3"/>
  <c r="AL88" i="3" s="1"/>
  <c r="L88" i="3"/>
  <c r="J88" i="3"/>
  <c r="I88" i="3"/>
  <c r="H88" i="3"/>
  <c r="K88" i="3" s="1"/>
  <c r="G88" i="3"/>
  <c r="F88" i="3"/>
  <c r="D88" i="3"/>
  <c r="C88" i="3"/>
  <c r="B88" i="3"/>
  <c r="AI87" i="3"/>
  <c r="AH87" i="3"/>
  <c r="AG87" i="3"/>
  <c r="V88" i="3" a="1"/>
  <c r="AE88" i="3" a="1"/>
  <c r="AF88" i="3" a="1"/>
  <c r="AF88" i="3" l="1"/>
  <c r="AE88" i="3"/>
  <c r="V88" i="3"/>
  <c r="Q88" i="3"/>
  <c r="M88" i="3"/>
  <c r="R88" i="3" s="1"/>
  <c r="AK88" i="3"/>
  <c r="AM88" i="3"/>
  <c r="X88" i="3" a="1"/>
  <c r="X88" i="3" s="1"/>
  <c r="AA88" i="3" l="1"/>
  <c r="Y88" i="3"/>
  <c r="E88" i="3" s="1" a="1"/>
  <c r="E88" i="3" s="1"/>
  <c r="Z88" i="3"/>
  <c r="AD87" i="3"/>
  <c r="AC87" i="3"/>
  <c r="AB87" i="3" a="1"/>
  <c r="AB87" i="3"/>
  <c r="W87" i="3" a="1"/>
  <c r="W87" i="3"/>
  <c r="U87" i="3"/>
  <c r="T87" i="3"/>
  <c r="S87" i="3"/>
  <c r="P87" i="3"/>
  <c r="O87" i="3"/>
  <c r="N87" i="3"/>
  <c r="AL87" i="3" s="1"/>
  <c r="L87" i="3"/>
  <c r="J87" i="3"/>
  <c r="I87" i="3"/>
  <c r="H87" i="3"/>
  <c r="K87" i="3" s="1"/>
  <c r="G87" i="3"/>
  <c r="M87" i="3" s="1"/>
  <c r="F87" i="3"/>
  <c r="D87" i="3"/>
  <c r="C87" i="3"/>
  <c r="B87" i="3"/>
  <c r="AI86" i="3"/>
  <c r="AH86" i="3"/>
  <c r="AG86" i="3"/>
  <c r="V87" i="3" a="1"/>
  <c r="AE87" i="3" a="1"/>
  <c r="AF87" i="3" a="1"/>
  <c r="AF87" i="3" l="1"/>
  <c r="AE87" i="3"/>
  <c r="V87" i="3"/>
  <c r="R87" i="3"/>
  <c r="Q87" i="3"/>
  <c r="AK87" i="3"/>
  <c r="AM87" i="3"/>
  <c r="X87" i="3" a="1"/>
  <c r="X87" i="3" s="1"/>
  <c r="AA87" i="3" l="1"/>
  <c r="Z87" i="3"/>
  <c r="Y87" i="3"/>
  <c r="E87" i="3" s="1" a="1"/>
  <c r="E87" i="3" s="1"/>
  <c r="AD86" i="3"/>
  <c r="AC86" i="3"/>
  <c r="AB86" i="3" a="1"/>
  <c r="AB86" i="3"/>
  <c r="W86" i="3" a="1"/>
  <c r="W86" i="3"/>
  <c r="U86" i="3"/>
  <c r="T86" i="3"/>
  <c r="S86" i="3"/>
  <c r="P86" i="3"/>
  <c r="O86" i="3"/>
  <c r="N86" i="3"/>
  <c r="AL86" i="3" s="1"/>
  <c r="L86" i="3"/>
  <c r="J86" i="3"/>
  <c r="I86" i="3"/>
  <c r="H86" i="3"/>
  <c r="K86" i="3" s="1"/>
  <c r="G86" i="3"/>
  <c r="M86" i="3" s="1"/>
  <c r="F86" i="3"/>
  <c r="D86" i="3"/>
  <c r="C86" i="3"/>
  <c r="B86" i="3"/>
  <c r="AI85" i="3"/>
  <c r="AH85" i="3"/>
  <c r="AG85" i="3"/>
  <c r="V86" i="3" a="1"/>
  <c r="AE86" i="3" a="1"/>
  <c r="AF86" i="3" a="1"/>
  <c r="AF86" i="3" l="1"/>
  <c r="AE86" i="3"/>
  <c r="V86" i="3"/>
  <c r="R86" i="3"/>
  <c r="Q86" i="3"/>
  <c r="AK86" i="3"/>
  <c r="AM86" i="3"/>
  <c r="X86" i="3" a="1"/>
  <c r="X86" i="3" s="1"/>
  <c r="AA86" i="3" l="1"/>
  <c r="Z86" i="3"/>
  <c r="Y86" i="3"/>
  <c r="E86" i="3" s="1" a="1"/>
  <c r="E86" i="3" s="1"/>
  <c r="AD85" i="3"/>
  <c r="AC85" i="3"/>
  <c r="AB85" i="3" a="1"/>
  <c r="AB85" i="3"/>
  <c r="W85" i="3" a="1"/>
  <c r="W85" i="3"/>
  <c r="U85" i="3"/>
  <c r="T85" i="3"/>
  <c r="S85" i="3"/>
  <c r="P85" i="3"/>
  <c r="O85" i="3"/>
  <c r="N85" i="3"/>
  <c r="AL85" i="3" s="1"/>
  <c r="L85" i="3"/>
  <c r="J85" i="3"/>
  <c r="I85" i="3"/>
  <c r="H85" i="3"/>
  <c r="K85" i="3" s="1"/>
  <c r="G85" i="3"/>
  <c r="M85" i="3" s="1"/>
  <c r="F85" i="3"/>
  <c r="D85" i="3"/>
  <c r="C85" i="3"/>
  <c r="B85" i="3"/>
  <c r="AI84" i="3"/>
  <c r="AH84" i="3"/>
  <c r="AG84" i="3"/>
  <c r="V85" i="3" a="1"/>
  <c r="AE85" i="3" a="1"/>
  <c r="AF85" i="3" a="1"/>
  <c r="AF85" i="3" l="1"/>
  <c r="AE85" i="3"/>
  <c r="V85" i="3"/>
  <c r="R85" i="3"/>
  <c r="Q85" i="3"/>
  <c r="AK85" i="3"/>
  <c r="AM85" i="3"/>
  <c r="X85" i="3" a="1"/>
  <c r="X85" i="3" s="1"/>
  <c r="AA85" i="3" l="1"/>
  <c r="Z85" i="3"/>
  <c r="Y85" i="3"/>
  <c r="E85" i="3" s="1" a="1"/>
  <c r="E85" i="3" s="1"/>
  <c r="AD84" i="3"/>
  <c r="AC84" i="3"/>
  <c r="AB84" i="3" a="1"/>
  <c r="AB84" i="3"/>
  <c r="W84" i="3" a="1"/>
  <c r="W84" i="3"/>
  <c r="U84" i="3"/>
  <c r="T84" i="3"/>
  <c r="S84" i="3"/>
  <c r="P84" i="3"/>
  <c r="O84" i="3"/>
  <c r="N84" i="3"/>
  <c r="AL84" i="3" s="1"/>
  <c r="L84" i="3"/>
  <c r="J84" i="3"/>
  <c r="I84" i="3"/>
  <c r="H84" i="3"/>
  <c r="Q84" i="3" s="1"/>
  <c r="G84" i="3"/>
  <c r="F84" i="3"/>
  <c r="D84" i="3"/>
  <c r="C84" i="3"/>
  <c r="B84" i="3"/>
  <c r="AI83" i="3"/>
  <c r="AH83" i="3"/>
  <c r="AG83" i="3"/>
  <c r="V84" i="3" a="1"/>
  <c r="AE84" i="3" a="1"/>
  <c r="AF84" i="3" a="1"/>
  <c r="AF84" i="3" l="1"/>
  <c r="AE84" i="3"/>
  <c r="V84" i="3"/>
  <c r="K84" i="3"/>
  <c r="M84" i="3"/>
  <c r="AK84" i="3"/>
  <c r="AM84" i="3"/>
  <c r="X84" i="3" a="1"/>
  <c r="X84" i="3" s="1"/>
  <c r="R84" i="3" l="1"/>
  <c r="E84" i="3" s="1" a="1"/>
  <c r="E84" i="3" s="1"/>
  <c r="Z84" i="3"/>
  <c r="AA84" i="3"/>
  <c r="Y84" i="3"/>
  <c r="AD83" i="3"/>
  <c r="AC83" i="3"/>
  <c r="AB83" i="3" a="1"/>
  <c r="AB83" i="3"/>
  <c r="W83" i="3" a="1"/>
  <c r="W83" i="3"/>
  <c r="U83" i="3"/>
  <c r="T83" i="3"/>
  <c r="S83" i="3"/>
  <c r="P83" i="3"/>
  <c r="O83" i="3"/>
  <c r="N83" i="3"/>
  <c r="AL83" i="3" s="1"/>
  <c r="L83" i="3"/>
  <c r="J83" i="3"/>
  <c r="I83" i="3"/>
  <c r="H83" i="3"/>
  <c r="Q83" i="3" s="1"/>
  <c r="G83" i="3"/>
  <c r="F83" i="3"/>
  <c r="D83" i="3"/>
  <c r="C83" i="3"/>
  <c r="B83" i="3"/>
  <c r="AI82" i="3"/>
  <c r="AH82" i="3"/>
  <c r="AG82" i="3"/>
  <c r="V83" i="3" a="1"/>
  <c r="AE83" i="3" a="1"/>
  <c r="AF83" i="3" a="1"/>
  <c r="AF83" i="3" l="1"/>
  <c r="AE83" i="3"/>
  <c r="V83" i="3"/>
  <c r="K83" i="3"/>
  <c r="M83" i="3"/>
  <c r="AK83" i="3"/>
  <c r="AM83" i="3"/>
  <c r="X83" i="3" a="1"/>
  <c r="X83" i="3" s="1"/>
  <c r="R83" i="3" l="1"/>
  <c r="E83" i="3" s="1" a="1"/>
  <c r="E83" i="3" s="1"/>
  <c r="AA83" i="3"/>
  <c r="Z83" i="3"/>
  <c r="Y83" i="3"/>
  <c r="AD82" i="3"/>
  <c r="AC82" i="3"/>
  <c r="AB82" i="3" a="1"/>
  <c r="AB82" i="3"/>
  <c r="W82" i="3" a="1"/>
  <c r="W82" i="3"/>
  <c r="U82" i="3"/>
  <c r="T82" i="3"/>
  <c r="S82" i="3"/>
  <c r="P82" i="3"/>
  <c r="O82" i="3"/>
  <c r="N82" i="3"/>
  <c r="AL82" i="3" s="1"/>
  <c r="L82" i="3"/>
  <c r="J82" i="3"/>
  <c r="I82" i="3"/>
  <c r="H82" i="3"/>
  <c r="K82" i="3" s="1"/>
  <c r="G82" i="3"/>
  <c r="F82" i="3"/>
  <c r="D82" i="3"/>
  <c r="C82" i="3"/>
  <c r="B82" i="3"/>
  <c r="AI81" i="3"/>
  <c r="AH81" i="3"/>
  <c r="AG81" i="3"/>
  <c r="V82" i="3" a="1"/>
  <c r="AE82" i="3" a="1"/>
  <c r="AF82" i="3" a="1"/>
  <c r="AF82" i="3" l="1"/>
  <c r="AE82" i="3"/>
  <c r="V82" i="3"/>
  <c r="Q82" i="3"/>
  <c r="M82" i="3"/>
  <c r="AK82" i="3"/>
  <c r="AM82" i="3"/>
  <c r="X82" i="3" a="1"/>
  <c r="X82" i="3" s="1"/>
  <c r="R82" i="3" l="1"/>
  <c r="E82" i="3" s="1" a="1"/>
  <c r="E82" i="3" s="1"/>
  <c r="AA82" i="3"/>
  <c r="Y82" i="3"/>
  <c r="Z82" i="3"/>
  <c r="AD81" i="3"/>
  <c r="AC81" i="3"/>
  <c r="AB81" i="3" a="1"/>
  <c r="AB81" i="3"/>
  <c r="W81" i="3" a="1"/>
  <c r="W81" i="3"/>
  <c r="U81" i="3"/>
  <c r="T81" i="3"/>
  <c r="S81" i="3"/>
  <c r="Q81" i="3"/>
  <c r="P81" i="3"/>
  <c r="O81" i="3"/>
  <c r="N81" i="3"/>
  <c r="AL81" i="3" s="1"/>
  <c r="L81" i="3"/>
  <c r="J81" i="3"/>
  <c r="I81" i="3"/>
  <c r="H81" i="3"/>
  <c r="G81" i="3"/>
  <c r="M81" i="3" s="1"/>
  <c r="F81" i="3"/>
  <c r="D81" i="3"/>
  <c r="C81" i="3"/>
  <c r="B81" i="3"/>
  <c r="AI80" i="3"/>
  <c r="AH80" i="3"/>
  <c r="AG80" i="3"/>
  <c r="V81" i="3" a="1"/>
  <c r="AE81" i="3" a="1"/>
  <c r="AF81" i="3" a="1"/>
  <c r="AF81" i="3" l="1"/>
  <c r="AE81" i="3"/>
  <c r="V81" i="3"/>
  <c r="K81" i="3"/>
  <c r="R81" i="3" s="1"/>
  <c r="AK81" i="3"/>
  <c r="AM81" i="3"/>
  <c r="X81" i="3" a="1"/>
  <c r="X81" i="3" s="1"/>
  <c r="AA81" i="3" l="1"/>
  <c r="Z81" i="3"/>
  <c r="Y81" i="3"/>
  <c r="E81" i="3" a="1"/>
  <c r="E81" i="3" s="1"/>
  <c r="AD80" i="3"/>
  <c r="AC80" i="3"/>
  <c r="AB80" i="3" a="1"/>
  <c r="AB80" i="3"/>
  <c r="W80" i="3" a="1"/>
  <c r="W80" i="3"/>
  <c r="U80" i="3"/>
  <c r="T80" i="3"/>
  <c r="S80" i="3"/>
  <c r="P80" i="3"/>
  <c r="O80" i="3"/>
  <c r="N80" i="3"/>
  <c r="AL80" i="3" s="1"/>
  <c r="L80" i="3"/>
  <c r="J80" i="3"/>
  <c r="I80" i="3"/>
  <c r="H80" i="3"/>
  <c r="K80" i="3" s="1"/>
  <c r="G80" i="3"/>
  <c r="F80" i="3"/>
  <c r="D80" i="3"/>
  <c r="C80" i="3"/>
  <c r="B80" i="3"/>
  <c r="AI79" i="3"/>
  <c r="AH79" i="3"/>
  <c r="AG79" i="3"/>
  <c r="V80" i="3" a="1"/>
  <c r="AE80" i="3" a="1"/>
  <c r="AF80" i="3" a="1"/>
  <c r="AF80" i="3" l="1"/>
  <c r="AE80" i="3"/>
  <c r="V80" i="3"/>
  <c r="Q80" i="3"/>
  <c r="M80" i="3"/>
  <c r="AK80" i="3"/>
  <c r="AM80" i="3"/>
  <c r="X80" i="3" a="1"/>
  <c r="X80" i="3" s="1"/>
  <c r="R80" i="3" l="1"/>
  <c r="E80" i="3" s="1" a="1"/>
  <c r="E80" i="3" s="1"/>
  <c r="AA80" i="3"/>
  <c r="Z80" i="3"/>
  <c r="Y80" i="3"/>
  <c r="AD79" i="3"/>
  <c r="AC79" i="3"/>
  <c r="AB79" i="3" a="1"/>
  <c r="AB79" i="3"/>
  <c r="W79" i="3" a="1"/>
  <c r="W79" i="3"/>
  <c r="U79" i="3"/>
  <c r="T79" i="3"/>
  <c r="S79" i="3"/>
  <c r="P79" i="3"/>
  <c r="O79" i="3"/>
  <c r="N79" i="3"/>
  <c r="AL79" i="3" s="1"/>
  <c r="L79" i="3"/>
  <c r="J79" i="3"/>
  <c r="I79" i="3"/>
  <c r="H79" i="3"/>
  <c r="K79" i="3" s="1"/>
  <c r="G79" i="3"/>
  <c r="M79" i="3" s="1"/>
  <c r="F79" i="3"/>
  <c r="D79" i="3"/>
  <c r="C79" i="3"/>
  <c r="B79" i="3"/>
  <c r="AI78" i="3"/>
  <c r="AH78" i="3"/>
  <c r="AG78" i="3"/>
  <c r="V79" i="3" a="1"/>
  <c r="AE79" i="3" a="1"/>
  <c r="AF79" i="3" a="1"/>
  <c r="AF79" i="3" l="1"/>
  <c r="AE79" i="3"/>
  <c r="V79" i="3"/>
  <c r="R79" i="3"/>
  <c r="Q79" i="3"/>
  <c r="AK79" i="3"/>
  <c r="AM79" i="3"/>
  <c r="X79" i="3" a="1"/>
  <c r="X79" i="3" s="1"/>
  <c r="Z79" i="3" l="1"/>
  <c r="AA79" i="3"/>
  <c r="Y79" i="3"/>
  <c r="E79" i="3" s="1" a="1"/>
  <c r="E79" i="3" s="1"/>
  <c r="AD78" i="3"/>
  <c r="AC78" i="3"/>
  <c r="AB78" i="3" a="1"/>
  <c r="AB78" i="3"/>
  <c r="W78" i="3" a="1"/>
  <c r="W78" i="3"/>
  <c r="U78" i="3"/>
  <c r="T78" i="3"/>
  <c r="S78" i="3"/>
  <c r="P78" i="3"/>
  <c r="O78" i="3"/>
  <c r="N78" i="3"/>
  <c r="AL78" i="3" s="1"/>
  <c r="L78" i="3"/>
  <c r="J78" i="3"/>
  <c r="I78" i="3"/>
  <c r="H78" i="3"/>
  <c r="Q78" i="3" s="1"/>
  <c r="G78" i="3"/>
  <c r="F78" i="3"/>
  <c r="D78" i="3"/>
  <c r="C78" i="3"/>
  <c r="B78" i="3"/>
  <c r="AI77" i="3"/>
  <c r="AH77" i="3"/>
  <c r="AG77" i="3"/>
  <c r="V78" i="3" a="1"/>
  <c r="AE78" i="3" a="1"/>
  <c r="AF78" i="3" a="1"/>
  <c r="AF78" i="3" l="1"/>
  <c r="AE78" i="3"/>
  <c r="V78" i="3"/>
  <c r="K78" i="3"/>
  <c r="M78" i="3"/>
  <c r="AK78" i="3"/>
  <c r="AM78" i="3"/>
  <c r="X78" i="3" a="1"/>
  <c r="X78" i="3" s="1"/>
  <c r="R78" i="3" l="1"/>
  <c r="E78" i="3" s="1" a="1"/>
  <c r="E78" i="3" s="1"/>
  <c r="Z78" i="3"/>
  <c r="AA78" i="3"/>
  <c r="Y78" i="3"/>
  <c r="AD77" i="3"/>
  <c r="AC77" i="3"/>
  <c r="AB77" i="3" a="1"/>
  <c r="AB77" i="3"/>
  <c r="W77" i="3" a="1"/>
  <c r="W77" i="3"/>
  <c r="U77" i="3"/>
  <c r="T77" i="3"/>
  <c r="S77" i="3"/>
  <c r="P77" i="3"/>
  <c r="O77" i="3"/>
  <c r="N77" i="3"/>
  <c r="AL77" i="3" s="1"/>
  <c r="L77" i="3"/>
  <c r="J77" i="3"/>
  <c r="I77" i="3"/>
  <c r="H77" i="3"/>
  <c r="Q77" i="3" s="1"/>
  <c r="G77" i="3"/>
  <c r="M77" i="3" s="1"/>
  <c r="F77" i="3"/>
  <c r="D77" i="3"/>
  <c r="C77" i="3"/>
  <c r="B77" i="3"/>
  <c r="AI76" i="3"/>
  <c r="AH76" i="3"/>
  <c r="AG76" i="3"/>
  <c r="V77" i="3" a="1"/>
  <c r="AE77" i="3" a="1"/>
  <c r="AF77" i="3" a="1"/>
  <c r="AF77" i="3" l="1"/>
  <c r="AE77" i="3"/>
  <c r="V77" i="3"/>
  <c r="K77" i="3"/>
  <c r="R77" i="3" s="1"/>
  <c r="AK77" i="3"/>
  <c r="AM77" i="3"/>
  <c r="X77" i="3" a="1"/>
  <c r="X77" i="3" s="1"/>
  <c r="AA77" i="3" l="1"/>
  <c r="Z77" i="3"/>
  <c r="Y77" i="3"/>
  <c r="E77" i="3" a="1"/>
  <c r="E77" i="3" s="1"/>
  <c r="AD76" i="3"/>
  <c r="AC76" i="3"/>
  <c r="AB76" i="3" a="1"/>
  <c r="AB76" i="3"/>
  <c r="W76" i="3" a="1"/>
  <c r="W76" i="3"/>
  <c r="U76" i="3"/>
  <c r="T76" i="3"/>
  <c r="S76" i="3"/>
  <c r="P76" i="3"/>
  <c r="O76" i="3"/>
  <c r="N76" i="3"/>
  <c r="AL76" i="3" s="1"/>
  <c r="L76" i="3"/>
  <c r="J76" i="3"/>
  <c r="I76" i="3"/>
  <c r="H76" i="3"/>
  <c r="K76" i="3" s="1"/>
  <c r="G76" i="3"/>
  <c r="F76" i="3"/>
  <c r="D76" i="3"/>
  <c r="C76" i="3"/>
  <c r="B76" i="3"/>
  <c r="AI75" i="3"/>
  <c r="AH75" i="3"/>
  <c r="AG75" i="3"/>
  <c r="V76" i="3" a="1"/>
  <c r="AE76" i="3" a="1"/>
  <c r="AF76" i="3" a="1"/>
  <c r="AF76" i="3" l="1"/>
  <c r="AE76" i="3"/>
  <c r="V76" i="3"/>
  <c r="Q76" i="3"/>
  <c r="M76" i="3"/>
  <c r="R76" i="3" s="1"/>
  <c r="AK76" i="3"/>
  <c r="AM76" i="3"/>
  <c r="X76" i="3" a="1"/>
  <c r="X76" i="3" s="1"/>
  <c r="Z76" i="3" l="1"/>
  <c r="AA76" i="3"/>
  <c r="Y76" i="3"/>
  <c r="E76" i="3" s="1" a="1"/>
  <c r="E76" i="3" s="1"/>
  <c r="AD75" i="3"/>
  <c r="AC75" i="3"/>
  <c r="AB75" i="3" a="1"/>
  <c r="AB75" i="3"/>
  <c r="W75" i="3" a="1"/>
  <c r="W75" i="3"/>
  <c r="U75" i="3"/>
  <c r="T75" i="3"/>
  <c r="S75" i="3"/>
  <c r="P75" i="3"/>
  <c r="O75" i="3"/>
  <c r="N75" i="3"/>
  <c r="AL75" i="3" s="1"/>
  <c r="L75" i="3"/>
  <c r="J75" i="3"/>
  <c r="I75" i="3"/>
  <c r="H75" i="3"/>
  <c r="K75" i="3" s="1"/>
  <c r="G75" i="3"/>
  <c r="F75" i="3"/>
  <c r="D75" i="3"/>
  <c r="C75" i="3"/>
  <c r="B75" i="3"/>
  <c r="AI74" i="3"/>
  <c r="AH74" i="3"/>
  <c r="AG74" i="3"/>
  <c r="V75" i="3" a="1"/>
  <c r="AE75" i="3" a="1"/>
  <c r="AF75" i="3" a="1"/>
  <c r="AF75" i="3" l="1"/>
  <c r="AE75" i="3"/>
  <c r="V75" i="3"/>
  <c r="Q75" i="3"/>
  <c r="M75" i="3"/>
  <c r="AK75" i="3"/>
  <c r="AM75" i="3"/>
  <c r="X75" i="3" a="1"/>
  <c r="X75" i="3" s="1"/>
  <c r="R75" i="3" l="1"/>
  <c r="E75" i="3" s="1" a="1"/>
  <c r="E75" i="3" s="1"/>
  <c r="AA75" i="3"/>
  <c r="Z75" i="3"/>
  <c r="Y75" i="3"/>
  <c r="AD74" i="3"/>
  <c r="AC74" i="3"/>
  <c r="AB74" i="3" a="1"/>
  <c r="AB74" i="3"/>
  <c r="W74" i="3" a="1"/>
  <c r="W74" i="3"/>
  <c r="U74" i="3"/>
  <c r="T74" i="3"/>
  <c r="S74" i="3"/>
  <c r="P74" i="3"/>
  <c r="O74" i="3"/>
  <c r="N74" i="3"/>
  <c r="AL74" i="3" s="1"/>
  <c r="L74" i="3"/>
  <c r="J74" i="3"/>
  <c r="I74" i="3"/>
  <c r="H74" i="3"/>
  <c r="K74" i="3" s="1"/>
  <c r="G74" i="3"/>
  <c r="F74" i="3"/>
  <c r="D74" i="3"/>
  <c r="C74" i="3"/>
  <c r="B74" i="3"/>
  <c r="AI73" i="3"/>
  <c r="AH73" i="3"/>
  <c r="AG73" i="3"/>
  <c r="V74" i="3" a="1"/>
  <c r="AE74" i="3" a="1"/>
  <c r="AF74" i="3" a="1"/>
  <c r="AF74" i="3" l="1"/>
  <c r="AE74" i="3"/>
  <c r="V74" i="3"/>
  <c r="Q74" i="3"/>
  <c r="M74" i="3"/>
  <c r="R74" i="3" s="1"/>
  <c r="AK74" i="3"/>
  <c r="AM74" i="3"/>
  <c r="X74" i="3" a="1"/>
  <c r="X74" i="3" s="1"/>
  <c r="AA74" i="3" l="1"/>
  <c r="Z74" i="3"/>
  <c r="Y74" i="3"/>
  <c r="E74" i="3" s="1" a="1"/>
  <c r="E74" i="3" s="1"/>
  <c r="AD73" i="3"/>
  <c r="AC73" i="3"/>
  <c r="AB73" i="3" a="1"/>
  <c r="AB73" i="3"/>
  <c r="W73" i="3" a="1"/>
  <c r="W73" i="3"/>
  <c r="U73" i="3"/>
  <c r="T73" i="3"/>
  <c r="S73" i="3"/>
  <c r="P73" i="3"/>
  <c r="O73" i="3"/>
  <c r="N73" i="3"/>
  <c r="AL73" i="3" s="1"/>
  <c r="L73" i="3"/>
  <c r="J73" i="3"/>
  <c r="I73" i="3"/>
  <c r="Q73" i="3" s="1"/>
  <c r="H73" i="3"/>
  <c r="G73" i="3"/>
  <c r="F73" i="3"/>
  <c r="D73" i="3"/>
  <c r="C73" i="3"/>
  <c r="B73" i="3"/>
  <c r="AI72" i="3"/>
  <c r="AH72" i="3"/>
  <c r="AG72" i="3"/>
  <c r="V73" i="3" a="1"/>
  <c r="AE73" i="3" a="1"/>
  <c r="AF73" i="3" a="1"/>
  <c r="AF73" i="3" l="1"/>
  <c r="AE73" i="3"/>
  <c r="V73" i="3"/>
  <c r="K73" i="3"/>
  <c r="R73" i="3" s="1"/>
  <c r="M73" i="3"/>
  <c r="AK73" i="3"/>
  <c r="AM73" i="3"/>
  <c r="X73" i="3" a="1"/>
  <c r="X73" i="3" s="1"/>
  <c r="AA73" i="3" l="1"/>
  <c r="Z73" i="3"/>
  <c r="Y73" i="3"/>
  <c r="E73" i="3" s="1" a="1"/>
  <c r="E73" i="3" s="1"/>
  <c r="AD72" i="3"/>
  <c r="AC72" i="3"/>
  <c r="AB72" i="3" a="1"/>
  <c r="AB72" i="3"/>
  <c r="W72" i="3" a="1"/>
  <c r="W72" i="3"/>
  <c r="U72" i="3"/>
  <c r="T72" i="3"/>
  <c r="S72" i="3"/>
  <c r="P72" i="3"/>
  <c r="O72" i="3"/>
  <c r="N72" i="3"/>
  <c r="AL72" i="3" s="1"/>
  <c r="L72" i="3"/>
  <c r="J72" i="3"/>
  <c r="I72" i="3"/>
  <c r="Q72" i="3" s="1"/>
  <c r="H72" i="3"/>
  <c r="G72" i="3"/>
  <c r="M72" i="3" s="1"/>
  <c r="F72" i="3"/>
  <c r="D72" i="3"/>
  <c r="C72" i="3"/>
  <c r="B72" i="3"/>
  <c r="AI71" i="3"/>
  <c r="AH71" i="3"/>
  <c r="AG71" i="3"/>
  <c r="V72" i="3" a="1"/>
  <c r="AE72" i="3" a="1"/>
  <c r="AF72" i="3" a="1"/>
  <c r="AF72" i="3" l="1"/>
  <c r="AE72" i="3"/>
  <c r="V72" i="3"/>
  <c r="K72" i="3"/>
  <c r="R72" i="3" s="1"/>
  <c r="AK72" i="3"/>
  <c r="AM72" i="3"/>
  <c r="X72" i="3" a="1"/>
  <c r="X72" i="3" s="1"/>
  <c r="Z72" i="3" l="1"/>
  <c r="AA72" i="3"/>
  <c r="Y72" i="3"/>
  <c r="E72" i="3" a="1"/>
  <c r="E72" i="3" s="1"/>
  <c r="AD71" i="3"/>
  <c r="AC71" i="3"/>
  <c r="AB71" i="3" a="1"/>
  <c r="AB71" i="3"/>
  <c r="W71" i="3" a="1"/>
  <c r="W71" i="3"/>
  <c r="U71" i="3"/>
  <c r="T71" i="3"/>
  <c r="S71" i="3"/>
  <c r="P71" i="3"/>
  <c r="O71" i="3"/>
  <c r="N71" i="3"/>
  <c r="AL71" i="3" s="1"/>
  <c r="L71" i="3"/>
  <c r="J71" i="3"/>
  <c r="I71" i="3"/>
  <c r="H71" i="3"/>
  <c r="Q71" i="3" s="1"/>
  <c r="G71" i="3"/>
  <c r="F71" i="3"/>
  <c r="D71" i="3"/>
  <c r="C71" i="3"/>
  <c r="B71" i="3"/>
  <c r="AI70" i="3"/>
  <c r="AH70" i="3"/>
  <c r="AG70" i="3"/>
  <c r="V71" i="3" a="1"/>
  <c r="AE71" i="3" a="1"/>
  <c r="AF71" i="3" a="1"/>
  <c r="AF71" i="3" l="1"/>
  <c r="AE71" i="3"/>
  <c r="V71" i="3"/>
  <c r="K71" i="3"/>
  <c r="M71" i="3"/>
  <c r="AK71" i="3"/>
  <c r="AM71" i="3"/>
  <c r="X71" i="3" a="1"/>
  <c r="X71" i="3" s="1"/>
  <c r="R71" i="3" l="1"/>
  <c r="AA71" i="3"/>
  <c r="Z71" i="3"/>
  <c r="Y71" i="3"/>
  <c r="E71" i="3" s="1" a="1"/>
  <c r="E71" i="3" s="1"/>
  <c r="AD70" i="3"/>
  <c r="AC70" i="3"/>
  <c r="AB70" i="3" a="1"/>
  <c r="AB70" i="3"/>
  <c r="W70" i="3" a="1"/>
  <c r="W70" i="3"/>
  <c r="U70" i="3"/>
  <c r="T70" i="3"/>
  <c r="S70" i="3"/>
  <c r="P70" i="3"/>
  <c r="O70" i="3"/>
  <c r="N70" i="3"/>
  <c r="AL70" i="3" s="1"/>
  <c r="L70" i="3"/>
  <c r="J70" i="3"/>
  <c r="I70" i="3"/>
  <c r="H70" i="3"/>
  <c r="Q70" i="3" s="1"/>
  <c r="G70" i="3"/>
  <c r="F70" i="3"/>
  <c r="D70" i="3"/>
  <c r="C70" i="3"/>
  <c r="B70" i="3"/>
  <c r="AI69" i="3"/>
  <c r="AH69" i="3"/>
  <c r="AG69" i="3"/>
  <c r="V70" i="3" a="1"/>
  <c r="AE70" i="3" a="1"/>
  <c r="AF70" i="3" a="1"/>
  <c r="AF70" i="3" l="1"/>
  <c r="AE70" i="3"/>
  <c r="V70" i="3"/>
  <c r="K70" i="3"/>
  <c r="R70" i="3" s="1"/>
  <c r="M70" i="3"/>
  <c r="AK70" i="3"/>
  <c r="AM70" i="3"/>
  <c r="X70" i="3" a="1"/>
  <c r="X70" i="3" s="1"/>
  <c r="AA70" i="3" l="1"/>
  <c r="Z70" i="3"/>
  <c r="Y70" i="3"/>
  <c r="E70" i="3" s="1" a="1"/>
  <c r="E70" i="3" s="1"/>
  <c r="AD69" i="3"/>
  <c r="AC69" i="3"/>
  <c r="AB69" i="3" a="1"/>
  <c r="AB69" i="3"/>
  <c r="W69" i="3" a="1"/>
  <c r="W69" i="3"/>
  <c r="U69" i="3"/>
  <c r="T69" i="3"/>
  <c r="S69" i="3"/>
  <c r="P69" i="3"/>
  <c r="O69" i="3"/>
  <c r="N69" i="3"/>
  <c r="AL69" i="3" s="1"/>
  <c r="L69" i="3"/>
  <c r="J69" i="3"/>
  <c r="I69" i="3"/>
  <c r="Q69" i="3" s="1"/>
  <c r="H69" i="3"/>
  <c r="G69" i="3"/>
  <c r="M69" i="3" s="1"/>
  <c r="F69" i="3"/>
  <c r="D69" i="3"/>
  <c r="C69" i="3"/>
  <c r="B69" i="3"/>
  <c r="AI68" i="3"/>
  <c r="AH68" i="3"/>
  <c r="AG68" i="3"/>
  <c r="V69" i="3" a="1"/>
  <c r="AE69" i="3" a="1"/>
  <c r="AF69" i="3" a="1"/>
  <c r="AF69" i="3" l="1"/>
  <c r="AE69" i="3"/>
  <c r="V69" i="3"/>
  <c r="K69" i="3"/>
  <c r="R69" i="3" s="1"/>
  <c r="AK69" i="3"/>
  <c r="AM69" i="3"/>
  <c r="X69" i="3" a="1"/>
  <c r="X69" i="3" s="1"/>
  <c r="Z69" i="3" l="1"/>
  <c r="Y69" i="3"/>
  <c r="AA69" i="3"/>
  <c r="E69" i="3" a="1"/>
  <c r="E69" i="3" s="1"/>
  <c r="AD68" i="3"/>
  <c r="AC68" i="3"/>
  <c r="AB68" i="3" a="1"/>
  <c r="AB68" i="3"/>
  <c r="W68" i="3" a="1"/>
  <c r="W68" i="3"/>
  <c r="U68" i="3"/>
  <c r="T68" i="3"/>
  <c r="P68" i="3"/>
  <c r="O68" i="3"/>
  <c r="N68" i="3"/>
  <c r="AL68" i="3" s="1"/>
  <c r="L68" i="3"/>
  <c r="J68" i="3"/>
  <c r="I68" i="3"/>
  <c r="H68" i="3"/>
  <c r="G68" i="3"/>
  <c r="F68" i="3"/>
  <c r="D68" i="3"/>
  <c r="C68" i="3"/>
  <c r="B68" i="3"/>
  <c r="AI67" i="3"/>
  <c r="AH67" i="3"/>
  <c r="AG67" i="3"/>
  <c r="V68" i="3" a="1"/>
  <c r="AE68" i="3" a="1"/>
  <c r="AF68" i="3" a="1"/>
  <c r="AF68" i="3" l="1"/>
  <c r="AE68" i="3"/>
  <c r="V68" i="3"/>
  <c r="AK68" i="3"/>
  <c r="AM68" i="3"/>
  <c r="X68" i="3" a="1"/>
  <c r="X68" i="3" s="1"/>
  <c r="Q68" i="3"/>
  <c r="K68" i="3"/>
  <c r="R68" i="3" s="1"/>
  <c r="S68" i="3"/>
  <c r="M68" i="3"/>
  <c r="AA68" i="3" l="1"/>
  <c r="Z68" i="3"/>
  <c r="Y68" i="3"/>
  <c r="E68" i="3" s="1" a="1"/>
  <c r="E68" i="3" s="1"/>
  <c r="AD67" i="3"/>
  <c r="AC67" i="3"/>
  <c r="AB67" i="3" a="1"/>
  <c r="AB67" i="3"/>
  <c r="W67" i="3" a="1"/>
  <c r="W67" i="3"/>
  <c r="U67" i="3"/>
  <c r="T67" i="3"/>
  <c r="S67" i="3"/>
  <c r="P67" i="3"/>
  <c r="O67" i="3"/>
  <c r="N67" i="3"/>
  <c r="AL67" i="3" s="1"/>
  <c r="L67" i="3"/>
  <c r="J67" i="3"/>
  <c r="I67" i="3"/>
  <c r="H67" i="3"/>
  <c r="K67" i="3" s="1"/>
  <c r="G67" i="3"/>
  <c r="F67" i="3"/>
  <c r="D67" i="3"/>
  <c r="C67" i="3"/>
  <c r="B67" i="3"/>
  <c r="AI66" i="3"/>
  <c r="AH66" i="3"/>
  <c r="AG66" i="3"/>
  <c r="V67" i="3" a="1"/>
  <c r="AE67" i="3" a="1"/>
  <c r="AF67" i="3" a="1"/>
  <c r="AF67" i="3" l="1"/>
  <c r="AE67" i="3"/>
  <c r="V67" i="3"/>
  <c r="Q67" i="3"/>
  <c r="M67" i="3"/>
  <c r="AK67" i="3"/>
  <c r="AM67" i="3"/>
  <c r="X67" i="3" a="1"/>
  <c r="X67" i="3" s="1"/>
  <c r="R67" i="3" l="1"/>
  <c r="AA67" i="3"/>
  <c r="Z67" i="3"/>
  <c r="Y67" i="3"/>
  <c r="E67" i="3" s="1" a="1"/>
  <c r="E67" i="3" s="1"/>
  <c r="AD66" i="3"/>
  <c r="AC66" i="3"/>
  <c r="AB66" i="3" a="1"/>
  <c r="AB66" i="3"/>
  <c r="W66" i="3" a="1"/>
  <c r="W66" i="3"/>
  <c r="U66" i="3"/>
  <c r="T66" i="3"/>
  <c r="S66" i="3"/>
  <c r="P66" i="3"/>
  <c r="O66" i="3"/>
  <c r="N66" i="3"/>
  <c r="AL66" i="3" s="1"/>
  <c r="L66" i="3"/>
  <c r="J66" i="3"/>
  <c r="I66" i="3"/>
  <c r="H66" i="3"/>
  <c r="K66" i="3" s="1"/>
  <c r="G66" i="3"/>
  <c r="F66" i="3"/>
  <c r="D66" i="3"/>
  <c r="C66" i="3"/>
  <c r="B66" i="3"/>
  <c r="AI65" i="3"/>
  <c r="AH65" i="3"/>
  <c r="AG65" i="3"/>
  <c r="V66" i="3" a="1"/>
  <c r="AE66" i="3" a="1"/>
  <c r="AF66" i="3" a="1"/>
  <c r="AF66" i="3" l="1"/>
  <c r="AE66" i="3"/>
  <c r="V66" i="3"/>
  <c r="Q66" i="3"/>
  <c r="M66" i="3"/>
  <c r="R66" i="3" s="1"/>
  <c r="AK66" i="3"/>
  <c r="AM66" i="3"/>
  <c r="X66" i="3" a="1"/>
  <c r="X66" i="3" s="1"/>
  <c r="AA66" i="3" l="1"/>
  <c r="Z66" i="3"/>
  <c r="Y66" i="3"/>
  <c r="E66" i="3" s="1" a="1"/>
  <c r="E66" i="3" s="1"/>
  <c r="AD65" i="3"/>
  <c r="AC65" i="3"/>
  <c r="AB65" i="3" a="1"/>
  <c r="AB65" i="3"/>
  <c r="W65" i="3" a="1"/>
  <c r="W65" i="3"/>
  <c r="U65" i="3"/>
  <c r="T65" i="3"/>
  <c r="S65" i="3"/>
  <c r="P65" i="3"/>
  <c r="O65" i="3"/>
  <c r="N65" i="3"/>
  <c r="AL65" i="3" s="1"/>
  <c r="L65" i="3"/>
  <c r="J65" i="3"/>
  <c r="I65" i="3"/>
  <c r="H65" i="3"/>
  <c r="Q65" i="3" s="1"/>
  <c r="G65" i="3"/>
  <c r="F65" i="3"/>
  <c r="D65" i="3"/>
  <c r="C65" i="3"/>
  <c r="B65" i="3"/>
  <c r="AI64" i="3"/>
  <c r="AH64" i="3"/>
  <c r="AG64" i="3"/>
  <c r="V65" i="3" a="1"/>
  <c r="AE65" i="3" a="1"/>
  <c r="AF65" i="3" a="1"/>
  <c r="AF65" i="3" l="1"/>
  <c r="AE65" i="3"/>
  <c r="V65" i="3"/>
  <c r="K65" i="3"/>
  <c r="R65" i="3" s="1"/>
  <c r="M65" i="3"/>
  <c r="AK65" i="3"/>
  <c r="AM65" i="3"/>
  <c r="X65" i="3" a="1"/>
  <c r="X65" i="3" s="1"/>
  <c r="AA65" i="3" l="1"/>
  <c r="Z65" i="3"/>
  <c r="Y65" i="3"/>
  <c r="E65" i="3" s="1" a="1"/>
  <c r="E65" i="3" s="1"/>
  <c r="AD64" i="3"/>
  <c r="AC64" i="3"/>
  <c r="AB64" i="3" a="1"/>
  <c r="AB64" i="3"/>
  <c r="W64" i="3" a="1"/>
  <c r="W64" i="3"/>
  <c r="U64" i="3"/>
  <c r="T64" i="3"/>
  <c r="S64" i="3"/>
  <c r="P64" i="3"/>
  <c r="O64" i="3"/>
  <c r="N64" i="3"/>
  <c r="AL64" i="3" s="1"/>
  <c r="L64" i="3"/>
  <c r="J64" i="3"/>
  <c r="I64" i="3"/>
  <c r="H64" i="3"/>
  <c r="G64" i="3"/>
  <c r="M64" i="3" s="1"/>
  <c r="F64" i="3"/>
  <c r="D64" i="3"/>
  <c r="C64" i="3"/>
  <c r="B64" i="3"/>
  <c r="AI63" i="3"/>
  <c r="AH63" i="3"/>
  <c r="AG63" i="3"/>
  <c r="V64" i="3" a="1"/>
  <c r="AE64" i="3" a="1"/>
  <c r="AF64" i="3" a="1"/>
  <c r="AF64" i="3" l="1"/>
  <c r="AE64" i="3"/>
  <c r="V64" i="3"/>
  <c r="Q64" i="3"/>
  <c r="K64" i="3"/>
  <c r="R64" i="3" s="1"/>
  <c r="AK64" i="3"/>
  <c r="AM64" i="3"/>
  <c r="X64" i="3" a="1"/>
  <c r="X64" i="3" s="1"/>
  <c r="AA64" i="3" l="1"/>
  <c r="Z64" i="3"/>
  <c r="Y64" i="3"/>
  <c r="E64" i="3" a="1"/>
  <c r="E64" i="3" s="1"/>
  <c r="AD63" i="3"/>
  <c r="AC63" i="3"/>
  <c r="AB63" i="3" a="1"/>
  <c r="AB63" i="3"/>
  <c r="W63" i="3" a="1"/>
  <c r="W63" i="3"/>
  <c r="U63" i="3"/>
  <c r="T63" i="3"/>
  <c r="S63" i="3"/>
  <c r="P63" i="3"/>
  <c r="O63" i="3"/>
  <c r="N63" i="3"/>
  <c r="AL63" i="3" s="1"/>
  <c r="L63" i="3"/>
  <c r="J63" i="3"/>
  <c r="I63" i="3"/>
  <c r="H63" i="3"/>
  <c r="Q63" i="3" s="1"/>
  <c r="G63" i="3"/>
  <c r="M63" i="3" s="1"/>
  <c r="F63" i="3"/>
  <c r="D63" i="3"/>
  <c r="C63" i="3"/>
  <c r="B63" i="3"/>
  <c r="AI62" i="3"/>
  <c r="AH62" i="3"/>
  <c r="AG62" i="3"/>
  <c r="V63" i="3" a="1"/>
  <c r="AE63" i="3" a="1"/>
  <c r="AF63" i="3" a="1"/>
  <c r="AF63" i="3" l="1"/>
  <c r="AE63" i="3"/>
  <c r="V63" i="3"/>
  <c r="K63" i="3"/>
  <c r="R63" i="3" s="1"/>
  <c r="AK63" i="3"/>
  <c r="AM63" i="3"/>
  <c r="X63" i="3" a="1"/>
  <c r="X63" i="3" s="1"/>
  <c r="AA63" i="3" l="1"/>
  <c r="Y63" i="3"/>
  <c r="Z63" i="3"/>
  <c r="E63" i="3" a="1"/>
  <c r="E63" i="3" s="1"/>
  <c r="AD62" i="3"/>
  <c r="AC62" i="3"/>
  <c r="AB62" i="3" a="1"/>
  <c r="AB62" i="3"/>
  <c r="W62" i="3" a="1"/>
  <c r="W62" i="3"/>
  <c r="U62" i="3"/>
  <c r="T62" i="3"/>
  <c r="S62" i="3"/>
  <c r="P62" i="3"/>
  <c r="O62" i="3"/>
  <c r="N62" i="3"/>
  <c r="AL62" i="3" s="1"/>
  <c r="L62" i="3"/>
  <c r="J62" i="3"/>
  <c r="I62" i="3"/>
  <c r="H62" i="3"/>
  <c r="K62" i="3" s="1"/>
  <c r="G62" i="3"/>
  <c r="M62" i="3" s="1"/>
  <c r="F62" i="3"/>
  <c r="D62" i="3"/>
  <c r="C62" i="3"/>
  <c r="B62" i="3"/>
  <c r="AI61" i="3"/>
  <c r="AH61" i="3"/>
  <c r="AG61" i="3"/>
  <c r="V62" i="3" a="1"/>
  <c r="AE62" i="3" a="1"/>
  <c r="AF62" i="3" a="1"/>
  <c r="AF62" i="3" l="1"/>
  <c r="AE62" i="3"/>
  <c r="V62" i="3"/>
  <c r="R62" i="3"/>
  <c r="Q62" i="3"/>
  <c r="AK62" i="3"/>
  <c r="AM62" i="3"/>
  <c r="X62" i="3" a="1"/>
  <c r="X62" i="3" s="1"/>
  <c r="AA62" i="3" l="1"/>
  <c r="Z62" i="3"/>
  <c r="Y62" i="3"/>
  <c r="E62" i="3" s="1" a="1"/>
  <c r="E62" i="3" s="1"/>
  <c r="AD61" i="3"/>
  <c r="AC61" i="3"/>
  <c r="AB61" i="3" a="1"/>
  <c r="AB61" i="3"/>
  <c r="W61" i="3" a="1"/>
  <c r="W61" i="3"/>
  <c r="U61" i="3"/>
  <c r="T61" i="3"/>
  <c r="S61" i="3"/>
  <c r="P61" i="3"/>
  <c r="O61" i="3"/>
  <c r="N61" i="3"/>
  <c r="AL61" i="3" s="1"/>
  <c r="L61" i="3"/>
  <c r="J61" i="3"/>
  <c r="I61" i="3"/>
  <c r="H61" i="3"/>
  <c r="K61" i="3" s="1"/>
  <c r="G61" i="3"/>
  <c r="M61" i="3" s="1"/>
  <c r="F61" i="3"/>
  <c r="D61" i="3"/>
  <c r="C61" i="3"/>
  <c r="B61" i="3"/>
  <c r="AI60" i="3"/>
  <c r="AH60" i="3"/>
  <c r="AG60" i="3"/>
  <c r="V61" i="3" a="1"/>
  <c r="AE61" i="3" a="1"/>
  <c r="AF61" i="3" a="1"/>
  <c r="AF61" i="3" l="1"/>
  <c r="AE61" i="3"/>
  <c r="V61" i="3"/>
  <c r="R61" i="3"/>
  <c r="Q61" i="3"/>
  <c r="AK61" i="3"/>
  <c r="AM61" i="3"/>
  <c r="X61" i="3" a="1"/>
  <c r="X61" i="3" s="1"/>
  <c r="AA61" i="3" l="1"/>
  <c r="Z61" i="3"/>
  <c r="Y61" i="3"/>
  <c r="E61" i="3" s="1" a="1"/>
  <c r="E61" i="3" s="1"/>
  <c r="AD60" i="3"/>
  <c r="AC60" i="3"/>
  <c r="AB60" i="3" a="1"/>
  <c r="AB60" i="3"/>
  <c r="W60" i="3" a="1"/>
  <c r="W60" i="3"/>
  <c r="U60" i="3"/>
  <c r="T60" i="3"/>
  <c r="S60" i="3"/>
  <c r="P60" i="3"/>
  <c r="O60" i="3"/>
  <c r="N60" i="3"/>
  <c r="AL60" i="3" s="1"/>
  <c r="L60" i="3"/>
  <c r="J60" i="3"/>
  <c r="I60" i="3"/>
  <c r="H60" i="3"/>
  <c r="K60" i="3" s="1"/>
  <c r="G60" i="3"/>
  <c r="M60" i="3" s="1"/>
  <c r="F60" i="3"/>
  <c r="D60" i="3"/>
  <c r="C60" i="3"/>
  <c r="B60" i="3"/>
  <c r="AI59" i="3"/>
  <c r="AH59" i="3"/>
  <c r="AG59" i="3"/>
  <c r="V60" i="3" a="1"/>
  <c r="AE60" i="3" a="1"/>
  <c r="AF60" i="3" a="1"/>
  <c r="AF60" i="3" l="1"/>
  <c r="AE60" i="3"/>
  <c r="V60" i="3"/>
  <c r="R60" i="3"/>
  <c r="Q60" i="3"/>
  <c r="AK60" i="3"/>
  <c r="AM60" i="3"/>
  <c r="X60" i="3" a="1"/>
  <c r="X60" i="3" s="1"/>
  <c r="AA60" i="3" l="1"/>
  <c r="Z60" i="3"/>
  <c r="Y60" i="3"/>
  <c r="E60" i="3" s="1" a="1"/>
  <c r="E60" i="3" s="1"/>
  <c r="AD59" i="3"/>
  <c r="AC59" i="3"/>
  <c r="AB59" i="3" a="1"/>
  <c r="AB59" i="3"/>
  <c r="W59" i="3" a="1"/>
  <c r="W59" i="3"/>
  <c r="U59" i="3"/>
  <c r="T59" i="3"/>
  <c r="S59" i="3"/>
  <c r="P59" i="3"/>
  <c r="O59" i="3"/>
  <c r="N59" i="3"/>
  <c r="AL59" i="3" s="1"/>
  <c r="L59" i="3"/>
  <c r="J59" i="3"/>
  <c r="I59" i="3"/>
  <c r="Q59" i="3" s="1"/>
  <c r="H59" i="3"/>
  <c r="G59" i="3"/>
  <c r="F59" i="3"/>
  <c r="D59" i="3"/>
  <c r="C59" i="3"/>
  <c r="B59" i="3"/>
  <c r="AI58" i="3"/>
  <c r="AH58" i="3"/>
  <c r="AG58" i="3"/>
  <c r="V59" i="3" a="1"/>
  <c r="AE59" i="3" a="1"/>
  <c r="AF59" i="3" a="1"/>
  <c r="AF59" i="3" l="1"/>
  <c r="AE59" i="3"/>
  <c r="V59" i="3"/>
  <c r="K59" i="3"/>
  <c r="M59" i="3"/>
  <c r="AK59" i="3"/>
  <c r="AM59" i="3"/>
  <c r="X59" i="3" a="1"/>
  <c r="X59" i="3" s="1"/>
  <c r="R59" i="3" l="1"/>
  <c r="E59" i="3" s="1" a="1"/>
  <c r="E59" i="3" s="1"/>
  <c r="AA59" i="3"/>
  <c r="Z59" i="3"/>
  <c r="Y59" i="3"/>
  <c r="AD58" i="3"/>
  <c r="AC58" i="3"/>
  <c r="AB58" i="3" a="1"/>
  <c r="AB58" i="3"/>
  <c r="W58" i="3" a="1"/>
  <c r="W58" i="3"/>
  <c r="U58" i="3"/>
  <c r="T58" i="3"/>
  <c r="S58" i="3"/>
  <c r="P58" i="3"/>
  <c r="O58" i="3"/>
  <c r="N58" i="3"/>
  <c r="AL58" i="3" s="1"/>
  <c r="L58" i="3"/>
  <c r="J58" i="3"/>
  <c r="I58" i="3"/>
  <c r="H58" i="3"/>
  <c r="G58" i="3"/>
  <c r="M58" i="3" s="1"/>
  <c r="F58" i="3"/>
  <c r="D58" i="3"/>
  <c r="C58" i="3"/>
  <c r="B58" i="3"/>
  <c r="AI57" i="3"/>
  <c r="AH57" i="3"/>
  <c r="AG57" i="3"/>
  <c r="V58" i="3" a="1"/>
  <c r="AE58" i="3" a="1"/>
  <c r="AF58" i="3" a="1"/>
  <c r="AF58" i="3" l="1"/>
  <c r="AE58" i="3"/>
  <c r="V58" i="3"/>
  <c r="Q58" i="3"/>
  <c r="K58" i="3"/>
  <c r="R58" i="3" s="1"/>
  <c r="AK58" i="3"/>
  <c r="AM58" i="3"/>
  <c r="X58" i="3" a="1"/>
  <c r="X58" i="3" s="1"/>
  <c r="E58" i="3" l="1" a="1"/>
  <c r="E58" i="3" s="1"/>
  <c r="AA58" i="3"/>
  <c r="Z58" i="3"/>
  <c r="Y58" i="3"/>
  <c r="AD57" i="3"/>
  <c r="AC57" i="3"/>
  <c r="AB57" i="3" a="1"/>
  <c r="AB57" i="3"/>
  <c r="W57" i="3" a="1"/>
  <c r="W57" i="3"/>
  <c r="U57" i="3"/>
  <c r="T57" i="3"/>
  <c r="S57" i="3"/>
  <c r="P57" i="3"/>
  <c r="O57" i="3"/>
  <c r="N57" i="3"/>
  <c r="AL57" i="3" s="1"/>
  <c r="L57" i="3"/>
  <c r="J57" i="3"/>
  <c r="I57" i="3"/>
  <c r="H57" i="3"/>
  <c r="K57" i="3" s="1"/>
  <c r="G57" i="3"/>
  <c r="F57" i="3"/>
  <c r="D57" i="3"/>
  <c r="C57" i="3"/>
  <c r="B57" i="3"/>
  <c r="AI56" i="3"/>
  <c r="AH56" i="3"/>
  <c r="AG56" i="3"/>
  <c r="V57" i="3" a="1"/>
  <c r="AE57" i="3" a="1"/>
  <c r="AF57" i="3" a="1"/>
  <c r="AF57" i="3" l="1"/>
  <c r="AE57" i="3"/>
  <c r="V57" i="3"/>
  <c r="Q57" i="3"/>
  <c r="M57" i="3"/>
  <c r="AK57" i="3"/>
  <c r="AM57" i="3"/>
  <c r="X57" i="3" a="1"/>
  <c r="X57" i="3" s="1"/>
  <c r="R57" i="3" l="1"/>
  <c r="AA57" i="3"/>
  <c r="Z57" i="3"/>
  <c r="Y57" i="3"/>
  <c r="E57" i="3" s="1" a="1"/>
  <c r="E57" i="3" s="1"/>
  <c r="AD56" i="3"/>
  <c r="AC56" i="3"/>
  <c r="AB56" i="3" a="1"/>
  <c r="AB56" i="3"/>
  <c r="W56" i="3" a="1"/>
  <c r="W56" i="3"/>
  <c r="U56" i="3"/>
  <c r="T56" i="3"/>
  <c r="S56" i="3"/>
  <c r="P56" i="3"/>
  <c r="O56" i="3"/>
  <c r="N56" i="3"/>
  <c r="AL56" i="3" s="1"/>
  <c r="L56" i="3"/>
  <c r="J56" i="3"/>
  <c r="I56" i="3"/>
  <c r="H56" i="3"/>
  <c r="K56" i="3" s="1"/>
  <c r="G56" i="3"/>
  <c r="F56" i="3"/>
  <c r="D56" i="3"/>
  <c r="C56" i="3"/>
  <c r="B56" i="3"/>
  <c r="AI55" i="3"/>
  <c r="AH55" i="3"/>
  <c r="AG55" i="3"/>
  <c r="V56" i="3" a="1"/>
  <c r="AE56" i="3" a="1"/>
  <c r="AF56" i="3" a="1"/>
  <c r="AF56" i="3" l="1"/>
  <c r="AE56" i="3"/>
  <c r="V56" i="3"/>
  <c r="Q56" i="3"/>
  <c r="M56" i="3"/>
  <c r="R56" i="3" s="1"/>
  <c r="AK56" i="3"/>
  <c r="AM56" i="3"/>
  <c r="X56" i="3" a="1"/>
  <c r="X56" i="3" s="1"/>
  <c r="AA56" i="3" l="1"/>
  <c r="Z56" i="3"/>
  <c r="Y56" i="3"/>
  <c r="E56" i="3" s="1" a="1"/>
  <c r="E56" i="3" s="1"/>
  <c r="AD55" i="3"/>
  <c r="AC55" i="3"/>
  <c r="AB55" i="3" a="1"/>
  <c r="AB55" i="3"/>
  <c r="W55" i="3" a="1"/>
  <c r="W55" i="3"/>
  <c r="U55" i="3"/>
  <c r="T55" i="3"/>
  <c r="S55" i="3"/>
  <c r="P55" i="3"/>
  <c r="O55" i="3"/>
  <c r="N55" i="3"/>
  <c r="AL55" i="3" s="1"/>
  <c r="L55" i="3"/>
  <c r="J55" i="3"/>
  <c r="I55" i="3"/>
  <c r="H55" i="3"/>
  <c r="G55" i="3"/>
  <c r="F55" i="3"/>
  <c r="D55" i="3"/>
  <c r="C55" i="3"/>
  <c r="B55" i="3"/>
  <c r="AI54" i="3"/>
  <c r="AH54" i="3"/>
  <c r="AG54" i="3"/>
  <c r="V55" i="3" a="1"/>
  <c r="AE55" i="3" a="1"/>
  <c r="AF55" i="3" a="1"/>
  <c r="AF55" i="3" l="1"/>
  <c r="AE55" i="3"/>
  <c r="V55" i="3"/>
  <c r="AK55" i="3"/>
  <c r="AM55" i="3"/>
  <c r="X55" i="3" a="1"/>
  <c r="X55" i="3" s="1"/>
  <c r="Q55" i="3"/>
  <c r="K55" i="3"/>
  <c r="R55" i="3" s="1"/>
  <c r="M55" i="3"/>
  <c r="AA55" i="3" l="1"/>
  <c r="Z55" i="3"/>
  <c r="Y55" i="3"/>
  <c r="E55" i="3" a="1"/>
  <c r="E55" i="3" s="1"/>
  <c r="AD54" i="3"/>
  <c r="AC54" i="3"/>
  <c r="AB54" i="3" a="1"/>
  <c r="AB54" i="3"/>
  <c r="W54" i="3" a="1"/>
  <c r="W54" i="3"/>
  <c r="U54" i="3"/>
  <c r="T54" i="3"/>
  <c r="S54" i="3"/>
  <c r="P54" i="3"/>
  <c r="O54" i="3"/>
  <c r="N54" i="3"/>
  <c r="AL54" i="3" s="1"/>
  <c r="L54" i="3"/>
  <c r="J54" i="3"/>
  <c r="I54" i="3"/>
  <c r="H54" i="3"/>
  <c r="K54" i="3" s="1"/>
  <c r="G54" i="3"/>
  <c r="M54" i="3" s="1"/>
  <c r="F54" i="3"/>
  <c r="D54" i="3"/>
  <c r="C54" i="3"/>
  <c r="B54" i="3"/>
  <c r="AI53" i="3"/>
  <c r="AH53" i="3"/>
  <c r="AG53" i="3"/>
  <c r="V54" i="3" a="1"/>
  <c r="AE54" i="3" a="1"/>
  <c r="AF54" i="3" a="1"/>
  <c r="AF54" i="3" l="1"/>
  <c r="AE54" i="3"/>
  <c r="V54" i="3"/>
  <c r="R54" i="3"/>
  <c r="Q54" i="3"/>
  <c r="AM54" i="3"/>
  <c r="AK54" i="3"/>
  <c r="X54" i="3" a="1"/>
  <c r="X54" i="3" s="1"/>
  <c r="Z54" i="3" l="1"/>
  <c r="AA54" i="3"/>
  <c r="Y54" i="3"/>
  <c r="E54" i="3" s="1" a="1"/>
  <c r="E54" i="3" s="1"/>
  <c r="AD53" i="3"/>
  <c r="AC53" i="3"/>
  <c r="AB53" i="3" a="1"/>
  <c r="AB53" i="3"/>
  <c r="W53" i="3" a="1"/>
  <c r="W53" i="3"/>
  <c r="U53" i="3"/>
  <c r="T53" i="3"/>
  <c r="S53" i="3"/>
  <c r="P53" i="3"/>
  <c r="O53" i="3"/>
  <c r="N53" i="3"/>
  <c r="AL53" i="3" s="1"/>
  <c r="L53" i="3"/>
  <c r="J53" i="3"/>
  <c r="I53" i="3"/>
  <c r="H53" i="3"/>
  <c r="K53" i="3" s="1"/>
  <c r="G53" i="3"/>
  <c r="F53" i="3"/>
  <c r="M53" i="3" s="1"/>
  <c r="D53" i="3"/>
  <c r="C53" i="3"/>
  <c r="B53" i="3"/>
  <c r="AI52" i="3"/>
  <c r="AH52" i="3"/>
  <c r="AG52" i="3"/>
  <c r="V53" i="3" a="1"/>
  <c r="AE53" i="3" a="1"/>
  <c r="AF53" i="3" a="1"/>
  <c r="AF53" i="3" l="1"/>
  <c r="AE53" i="3"/>
  <c r="V53" i="3"/>
  <c r="R53" i="3"/>
  <c r="Q53" i="3"/>
  <c r="AK53" i="3"/>
  <c r="AM53" i="3"/>
  <c r="X53" i="3" a="1"/>
  <c r="X53" i="3" s="1"/>
  <c r="AA53" i="3" l="1"/>
  <c r="Z53" i="3"/>
  <c r="Y53" i="3"/>
  <c r="E53" i="3" s="1" a="1"/>
  <c r="E53" i="3" s="1"/>
  <c r="AD52" i="3"/>
  <c r="AC52" i="3"/>
  <c r="AB52" i="3" a="1"/>
  <c r="AB52" i="3"/>
  <c r="W52" i="3" a="1"/>
  <c r="W52" i="3"/>
  <c r="U52" i="3"/>
  <c r="T52" i="3"/>
  <c r="S52" i="3"/>
  <c r="P52" i="3"/>
  <c r="O52" i="3"/>
  <c r="N52" i="3"/>
  <c r="AL52" i="3" s="1"/>
  <c r="L52" i="3"/>
  <c r="J52" i="3"/>
  <c r="I52" i="3"/>
  <c r="H52" i="3"/>
  <c r="G52" i="3"/>
  <c r="M52" i="3" s="1"/>
  <c r="F52" i="3"/>
  <c r="D52" i="3"/>
  <c r="C52" i="3"/>
  <c r="B52" i="3"/>
  <c r="AI51" i="3"/>
  <c r="AH51" i="3"/>
  <c r="AG51" i="3"/>
  <c r="V52" i="3" a="1"/>
  <c r="AE52" i="3" a="1"/>
  <c r="AF52" i="3" a="1"/>
  <c r="AF52" i="3" l="1"/>
  <c r="AE52" i="3"/>
  <c r="V52" i="3"/>
  <c r="Q52" i="3"/>
  <c r="K52" i="3"/>
  <c r="R52" i="3" s="1"/>
  <c r="AK52" i="3"/>
  <c r="AM52" i="3"/>
  <c r="X52" i="3" a="1"/>
  <c r="X52" i="3" s="1"/>
  <c r="AA52" i="3" l="1"/>
  <c r="Z52" i="3"/>
  <c r="Y52" i="3"/>
  <c r="E52" i="3" s="1" a="1"/>
  <c r="E52" i="3" s="1"/>
  <c r="AD51" i="3"/>
  <c r="AC51" i="3"/>
  <c r="AB51" i="3" a="1"/>
  <c r="AB51" i="3"/>
  <c r="W51" i="3" a="1"/>
  <c r="W51" i="3"/>
  <c r="U51" i="3"/>
  <c r="T51" i="3"/>
  <c r="S51" i="3"/>
  <c r="P51" i="3"/>
  <c r="O51" i="3"/>
  <c r="N51" i="3"/>
  <c r="AL51" i="3" s="1"/>
  <c r="L51" i="3"/>
  <c r="J51" i="3"/>
  <c r="I51" i="3"/>
  <c r="H51" i="3"/>
  <c r="G51" i="3"/>
  <c r="F51" i="3"/>
  <c r="D51" i="3"/>
  <c r="C51" i="3"/>
  <c r="B51" i="3"/>
  <c r="AI50" i="3"/>
  <c r="AH50" i="3"/>
  <c r="AG50" i="3"/>
  <c r="V51" i="3" a="1"/>
  <c r="AE51" i="3" a="1"/>
  <c r="AF51" i="3" a="1"/>
  <c r="AF51" i="3" l="1"/>
  <c r="AE51" i="3"/>
  <c r="V51" i="3"/>
  <c r="Q51" i="3"/>
  <c r="K51" i="3"/>
  <c r="M51" i="3"/>
  <c r="AK51" i="3"/>
  <c r="AM51" i="3"/>
  <c r="X51" i="3" a="1"/>
  <c r="X51" i="3" s="1"/>
  <c r="R51" i="3" l="1"/>
  <c r="AA51" i="3"/>
  <c r="Z51" i="3"/>
  <c r="Y51" i="3"/>
  <c r="E51" i="3" a="1"/>
  <c r="E51" i="3" s="1"/>
  <c r="AD50" i="3"/>
  <c r="AC50" i="3"/>
  <c r="AB50" i="3" a="1"/>
  <c r="AB50" i="3"/>
  <c r="W50" i="3" a="1"/>
  <c r="W50" i="3"/>
  <c r="U50" i="3"/>
  <c r="T50" i="3"/>
  <c r="S50" i="3"/>
  <c r="P50" i="3"/>
  <c r="O50" i="3"/>
  <c r="N50" i="3"/>
  <c r="AL50" i="3" s="1"/>
  <c r="L50" i="3"/>
  <c r="J50" i="3"/>
  <c r="I50" i="3"/>
  <c r="H50" i="3"/>
  <c r="Q50" i="3" s="1"/>
  <c r="G50" i="3"/>
  <c r="F50" i="3"/>
  <c r="D50" i="3"/>
  <c r="C50" i="3"/>
  <c r="B50" i="3"/>
  <c r="AI49" i="3"/>
  <c r="AH49" i="3"/>
  <c r="AG49" i="3"/>
  <c r="V50" i="3" a="1"/>
  <c r="AE50" i="3" a="1"/>
  <c r="AF50" i="3" a="1"/>
  <c r="AF50" i="3" l="1"/>
  <c r="AE50" i="3"/>
  <c r="V50" i="3"/>
  <c r="K50" i="3"/>
  <c r="M50" i="3"/>
  <c r="AK50" i="3"/>
  <c r="AM50" i="3"/>
  <c r="X50" i="3" a="1"/>
  <c r="X50" i="3" s="1"/>
  <c r="R50" i="3" l="1"/>
  <c r="AA50" i="3"/>
  <c r="Z50" i="3"/>
  <c r="Y50" i="3"/>
  <c r="E50" i="3" s="1" a="1"/>
  <c r="E50" i="3" s="1"/>
  <c r="AD49" i="3"/>
  <c r="AC49" i="3"/>
  <c r="AB49" i="3" a="1"/>
  <c r="AB49" i="3"/>
  <c r="W49" i="3" a="1"/>
  <c r="W49" i="3"/>
  <c r="U49" i="3"/>
  <c r="T49" i="3"/>
  <c r="S49" i="3"/>
  <c r="P49" i="3"/>
  <c r="O49" i="3"/>
  <c r="N49" i="3"/>
  <c r="AL49" i="3" s="1"/>
  <c r="L49" i="3"/>
  <c r="J49" i="3"/>
  <c r="I49" i="3"/>
  <c r="Q49" i="3" s="1"/>
  <c r="H49" i="3"/>
  <c r="G49" i="3"/>
  <c r="K49" i="3" s="1"/>
  <c r="F49" i="3"/>
  <c r="D49" i="3"/>
  <c r="C49" i="3"/>
  <c r="B49" i="3"/>
  <c r="AI48" i="3"/>
  <c r="AH48" i="3"/>
  <c r="AG48" i="3"/>
  <c r="V49" i="3" a="1"/>
  <c r="AE49" i="3" a="1"/>
  <c r="AF49" i="3" a="1"/>
  <c r="AF49" i="3" l="1"/>
  <c r="AE49" i="3"/>
  <c r="V49" i="3"/>
  <c r="M49" i="3"/>
  <c r="R49" i="3" s="1"/>
  <c r="AK49" i="3"/>
  <c r="AM49" i="3"/>
  <c r="X49" i="3" a="1"/>
  <c r="X49" i="3" s="1"/>
  <c r="AA49" i="3" l="1"/>
  <c r="Y49" i="3"/>
  <c r="E49" i="3" s="1" a="1"/>
  <c r="E49" i="3" s="1"/>
  <c r="Z49" i="3"/>
  <c r="AD48" i="3"/>
  <c r="AC48" i="3"/>
  <c r="AB48" i="3" a="1"/>
  <c r="AB48" i="3"/>
  <c r="W48" i="3" a="1"/>
  <c r="W48" i="3"/>
  <c r="U48" i="3"/>
  <c r="T48" i="3"/>
  <c r="S48" i="3"/>
  <c r="P48" i="3"/>
  <c r="O48" i="3"/>
  <c r="N48" i="3"/>
  <c r="AL48" i="3" s="1"/>
  <c r="L48" i="3"/>
  <c r="J48" i="3"/>
  <c r="I48" i="3"/>
  <c r="H48" i="3"/>
  <c r="Q48" i="3" s="1"/>
  <c r="G48" i="3"/>
  <c r="M48" i="3" s="1"/>
  <c r="F48" i="3"/>
  <c r="D48" i="3"/>
  <c r="C48" i="3"/>
  <c r="B48" i="3"/>
  <c r="AI47" i="3"/>
  <c r="AH47" i="3"/>
  <c r="AG47" i="3"/>
  <c r="V48" i="3" a="1"/>
  <c r="AE48" i="3" a="1"/>
  <c r="AF48" i="3" a="1"/>
  <c r="AF48" i="3" l="1"/>
  <c r="AE48" i="3"/>
  <c r="V48" i="3"/>
  <c r="K48" i="3"/>
  <c r="R48" i="3" s="1"/>
  <c r="AK48" i="3"/>
  <c r="AM48" i="3"/>
  <c r="X48" i="3" a="1"/>
  <c r="X48" i="3" s="1"/>
  <c r="AA48" i="3" l="1"/>
  <c r="Z48" i="3"/>
  <c r="Y48" i="3"/>
  <c r="E48" i="3" s="1" a="1"/>
  <c r="E48" i="3" s="1"/>
  <c r="AD47" i="3"/>
  <c r="AC47" i="3"/>
  <c r="AB47" i="3" a="1"/>
  <c r="AB47" i="3"/>
  <c r="W47" i="3" a="1"/>
  <c r="W47" i="3"/>
  <c r="U47" i="3"/>
  <c r="T47" i="3"/>
  <c r="S47" i="3"/>
  <c r="P47" i="3"/>
  <c r="O47" i="3"/>
  <c r="N47" i="3"/>
  <c r="AL47" i="3" s="1"/>
  <c r="L47" i="3"/>
  <c r="J47" i="3"/>
  <c r="I47" i="3"/>
  <c r="H47" i="3"/>
  <c r="K47" i="3" s="1"/>
  <c r="G47" i="3"/>
  <c r="M47" i="3" s="1"/>
  <c r="F47" i="3"/>
  <c r="D47" i="3"/>
  <c r="C47" i="3"/>
  <c r="B47" i="3"/>
  <c r="AI46" i="3"/>
  <c r="AH46" i="3"/>
  <c r="AG46" i="3"/>
  <c r="V47" i="3" a="1"/>
  <c r="AE47" i="3" a="1"/>
  <c r="AF47" i="3" a="1"/>
  <c r="AF47" i="3" l="1"/>
  <c r="AE47" i="3"/>
  <c r="V47" i="3"/>
  <c r="R47" i="3"/>
  <c r="Q47" i="3"/>
  <c r="AK47" i="3"/>
  <c r="AM47" i="3"/>
  <c r="X47" i="3" a="1"/>
  <c r="X47" i="3" s="1"/>
  <c r="AA47" i="3" l="1"/>
  <c r="Z47" i="3"/>
  <c r="Y47" i="3"/>
  <c r="E47" i="3" s="1" a="1"/>
  <c r="E47" i="3" s="1"/>
  <c r="AD46" i="3"/>
  <c r="AC46" i="3"/>
  <c r="AB46" i="3" a="1"/>
  <c r="AB46" i="3"/>
  <c r="W46" i="3" a="1"/>
  <c r="W46" i="3"/>
  <c r="U46" i="3"/>
  <c r="T46" i="3"/>
  <c r="S46" i="3"/>
  <c r="P46" i="3"/>
  <c r="O46" i="3"/>
  <c r="N46" i="3"/>
  <c r="AL46" i="3" s="1"/>
  <c r="L46" i="3"/>
  <c r="J46" i="3"/>
  <c r="I46" i="3"/>
  <c r="H46" i="3"/>
  <c r="K46" i="3" s="1"/>
  <c r="G46" i="3"/>
  <c r="M46" i="3" s="1"/>
  <c r="F46" i="3"/>
  <c r="D46" i="3"/>
  <c r="C46" i="3"/>
  <c r="B46" i="3"/>
  <c r="AI45" i="3"/>
  <c r="AH45" i="3"/>
  <c r="AG45" i="3"/>
  <c r="V46" i="3" a="1"/>
  <c r="AE46" i="3" a="1"/>
  <c r="AF46" i="3" a="1"/>
  <c r="AF46" i="3" l="1"/>
  <c r="AE46" i="3"/>
  <c r="V46" i="3"/>
  <c r="R46" i="3"/>
  <c r="Q46" i="3"/>
  <c r="AK46" i="3"/>
  <c r="AM46" i="3"/>
  <c r="X46" i="3" a="1"/>
  <c r="X46" i="3" s="1"/>
  <c r="AA46" i="3" l="1"/>
  <c r="Z46" i="3"/>
  <c r="Y46" i="3"/>
  <c r="E46" i="3" s="1" a="1"/>
  <c r="E46" i="3" s="1"/>
  <c r="AD45" i="3"/>
  <c r="AC45" i="3"/>
  <c r="AB45" i="3" a="1"/>
  <c r="AB45" i="3"/>
  <c r="W45" i="3" a="1"/>
  <c r="W45" i="3"/>
  <c r="U45" i="3"/>
  <c r="T45" i="3"/>
  <c r="S45" i="3"/>
  <c r="P45" i="3"/>
  <c r="O45" i="3"/>
  <c r="N45" i="3"/>
  <c r="AL45" i="3" s="1"/>
  <c r="L45" i="3"/>
  <c r="J45" i="3"/>
  <c r="I45" i="3"/>
  <c r="H45" i="3"/>
  <c r="K45" i="3" s="1"/>
  <c r="G45" i="3"/>
  <c r="F45" i="3"/>
  <c r="M45" i="3" s="1"/>
  <c r="D45" i="3"/>
  <c r="C45" i="3"/>
  <c r="B45" i="3"/>
  <c r="AI44" i="3"/>
  <c r="AH44" i="3"/>
  <c r="AG44" i="3"/>
  <c r="V45" i="3" a="1"/>
  <c r="AE45" i="3" a="1"/>
  <c r="AF45" i="3" a="1"/>
  <c r="AF45" i="3" l="1"/>
  <c r="AE45" i="3"/>
  <c r="V45" i="3"/>
  <c r="R45" i="3"/>
  <c r="Q45" i="3"/>
  <c r="AK45" i="3"/>
  <c r="AM45" i="3"/>
  <c r="X45" i="3" a="1"/>
  <c r="X45" i="3" s="1"/>
  <c r="AA45" i="3" l="1"/>
  <c r="Z45" i="3"/>
  <c r="Y45" i="3"/>
  <c r="E45" i="3" s="1" a="1"/>
  <c r="E45" i="3" s="1"/>
  <c r="AD44" i="3"/>
  <c r="AC44" i="3"/>
  <c r="AB44" i="3" a="1"/>
  <c r="AB44" i="3"/>
  <c r="W44" i="3" a="1"/>
  <c r="W44" i="3"/>
  <c r="U44" i="3"/>
  <c r="T44" i="3"/>
  <c r="S44" i="3"/>
  <c r="P44" i="3"/>
  <c r="O44" i="3"/>
  <c r="N44" i="3"/>
  <c r="AL44" i="3" s="1"/>
  <c r="L44" i="3"/>
  <c r="J44" i="3"/>
  <c r="I44" i="3"/>
  <c r="H44" i="3"/>
  <c r="Q44" i="3" s="1"/>
  <c r="G44" i="3"/>
  <c r="M44" i="3" s="1"/>
  <c r="F44" i="3"/>
  <c r="D44" i="3"/>
  <c r="C44" i="3"/>
  <c r="B44" i="3"/>
  <c r="AI43" i="3"/>
  <c r="AH43" i="3"/>
  <c r="AG43" i="3"/>
  <c r="V44" i="3" a="1"/>
  <c r="AE44" i="3" a="1"/>
  <c r="AF44" i="3" a="1"/>
  <c r="AF44" i="3" l="1"/>
  <c r="AE44" i="3"/>
  <c r="V44" i="3"/>
  <c r="K44" i="3"/>
  <c r="R44" i="3" s="1"/>
  <c r="AK44" i="3"/>
  <c r="AM44" i="3"/>
  <c r="X44" i="3" a="1"/>
  <c r="X44" i="3" s="1"/>
  <c r="AA44" i="3" l="1"/>
  <c r="Z44" i="3"/>
  <c r="Y44" i="3"/>
  <c r="E44" i="3" a="1"/>
  <c r="E44" i="3" s="1"/>
  <c r="AD43" i="3"/>
  <c r="AC43" i="3"/>
  <c r="AB43" i="3" a="1"/>
  <c r="AB43" i="3"/>
  <c r="W43" i="3" a="1"/>
  <c r="W43" i="3"/>
  <c r="U43" i="3"/>
  <c r="T43" i="3"/>
  <c r="S43" i="3"/>
  <c r="P43" i="3"/>
  <c r="O43" i="3"/>
  <c r="N43" i="3"/>
  <c r="AL43" i="3" s="1"/>
  <c r="L43" i="3"/>
  <c r="J43" i="3"/>
  <c r="I43" i="3"/>
  <c r="H43" i="3"/>
  <c r="Q43" i="3" s="1"/>
  <c r="G43" i="3"/>
  <c r="F43" i="3"/>
  <c r="D43" i="3"/>
  <c r="C43" i="3"/>
  <c r="B43" i="3"/>
  <c r="AI42" i="3"/>
  <c r="AH42" i="3"/>
  <c r="AG42" i="3"/>
  <c r="V43" i="3" a="1"/>
  <c r="AE43" i="3" a="1"/>
  <c r="AF43" i="3" a="1"/>
  <c r="AF43" i="3" l="1"/>
  <c r="AE43" i="3"/>
  <c r="V43" i="3"/>
  <c r="K43" i="3"/>
  <c r="M43" i="3"/>
  <c r="AK43" i="3"/>
  <c r="AM43" i="3"/>
  <c r="X43" i="3" a="1"/>
  <c r="X43" i="3" s="1"/>
  <c r="AA43" i="3" l="1"/>
  <c r="Z43" i="3"/>
  <c r="Y43" i="3"/>
  <c r="R43" i="3"/>
  <c r="E43" i="3" s="1" a="1"/>
  <c r="E43" i="3" s="1"/>
  <c r="AD42" i="3"/>
  <c r="AC42" i="3"/>
  <c r="AB42" i="3" a="1"/>
  <c r="AB42" i="3"/>
  <c r="W42" i="3" a="1"/>
  <c r="W42" i="3"/>
  <c r="U42" i="3"/>
  <c r="T42" i="3"/>
  <c r="S42" i="3"/>
  <c r="P42" i="3"/>
  <c r="O42" i="3"/>
  <c r="N42" i="3"/>
  <c r="AL42" i="3" s="1"/>
  <c r="L42" i="3"/>
  <c r="J42" i="3"/>
  <c r="I42" i="3"/>
  <c r="H42" i="3"/>
  <c r="K42" i="3" s="1"/>
  <c r="G42" i="3"/>
  <c r="F42" i="3"/>
  <c r="M42" i="3" s="1"/>
  <c r="D42" i="3"/>
  <c r="C42" i="3"/>
  <c r="B42" i="3"/>
  <c r="AI41" i="3"/>
  <c r="AH41" i="3"/>
  <c r="AG41" i="3"/>
  <c r="V42" i="3" a="1"/>
  <c r="AE42" i="3" a="1"/>
  <c r="AF42" i="3" a="1"/>
  <c r="AF42" i="3" l="1"/>
  <c r="AE42" i="3"/>
  <c r="V42" i="3"/>
  <c r="R42" i="3"/>
  <c r="Q42" i="3"/>
  <c r="AK42" i="3"/>
  <c r="AM42" i="3"/>
  <c r="X42" i="3" a="1"/>
  <c r="X42" i="3" s="1"/>
  <c r="Z42" i="3" l="1"/>
  <c r="AA42" i="3"/>
  <c r="Y42" i="3"/>
  <c r="E42" i="3" s="1" a="1"/>
  <c r="E42" i="3" s="1"/>
  <c r="AD41" i="3"/>
  <c r="AC41" i="3"/>
  <c r="AB41" i="3" a="1"/>
  <c r="AB41" i="3"/>
  <c r="W41" i="3" a="1"/>
  <c r="W41" i="3"/>
  <c r="U41" i="3"/>
  <c r="T41" i="3"/>
  <c r="P41" i="3"/>
  <c r="O41" i="3"/>
  <c r="N41" i="3"/>
  <c r="AL41" i="3" s="1"/>
  <c r="L41" i="3"/>
  <c r="J41" i="3"/>
  <c r="I41" i="3"/>
  <c r="H41" i="3"/>
  <c r="G41" i="3"/>
  <c r="F41" i="3"/>
  <c r="Q41" i="3" s="1"/>
  <c r="D41" i="3"/>
  <c r="C41" i="3"/>
  <c r="B41" i="3"/>
  <c r="AI40" i="3"/>
  <c r="AH40" i="3"/>
  <c r="AG40" i="3"/>
  <c r="V41" i="3" a="1"/>
  <c r="AE41" i="3" a="1"/>
  <c r="AF41" i="3" a="1"/>
  <c r="AF41" i="3" l="1"/>
  <c r="AE41" i="3"/>
  <c r="V41" i="3"/>
  <c r="AK41" i="3"/>
  <c r="AM41" i="3"/>
  <c r="X41" i="3" a="1"/>
  <c r="X41" i="3" s="1"/>
  <c r="K41" i="3"/>
  <c r="R41" i="3" s="1"/>
  <c r="S41" i="3"/>
  <c r="M41" i="3"/>
  <c r="Z41" i="3" l="1"/>
  <c r="AA41" i="3"/>
  <c r="Y41" i="3"/>
  <c r="E41" i="3" a="1"/>
  <c r="E41" i="3" s="1"/>
  <c r="AD40" i="3"/>
  <c r="AC40" i="3"/>
  <c r="AB40" i="3" a="1"/>
  <c r="AB40" i="3"/>
  <c r="W40" i="3" a="1"/>
  <c r="W40" i="3"/>
  <c r="U40" i="3"/>
  <c r="T40" i="3"/>
  <c r="P40" i="3"/>
  <c r="O40" i="3"/>
  <c r="N40" i="3"/>
  <c r="AL40" i="3" s="1"/>
  <c r="L40" i="3"/>
  <c r="J40" i="3"/>
  <c r="I40" i="3"/>
  <c r="H40" i="3"/>
  <c r="G40" i="3"/>
  <c r="F40" i="3"/>
  <c r="K40" i="3" s="1"/>
  <c r="D40" i="3"/>
  <c r="C40" i="3"/>
  <c r="B40" i="3"/>
  <c r="AI39" i="3"/>
  <c r="AH39" i="3"/>
  <c r="AG39" i="3"/>
  <c r="V40" i="3" a="1"/>
  <c r="AE40" i="3" a="1"/>
  <c r="AF40" i="3" a="1"/>
  <c r="AF40" i="3" l="1"/>
  <c r="AE40" i="3"/>
  <c r="V40" i="3"/>
  <c r="Q40" i="3"/>
  <c r="S40" i="3"/>
  <c r="AK40" i="3"/>
  <c r="AM40" i="3"/>
  <c r="X40" i="3" a="1"/>
  <c r="X40" i="3" s="1"/>
  <c r="M40" i="3"/>
  <c r="R40" i="3" s="1"/>
  <c r="AA40" i="3" l="1"/>
  <c r="Z40" i="3"/>
  <c r="Y40" i="3"/>
  <c r="E40" i="3" s="1" a="1"/>
  <c r="E40" i="3" s="1"/>
  <c r="AD39" i="3"/>
  <c r="AC39" i="3"/>
  <c r="AB39" i="3" a="1"/>
  <c r="AB39" i="3"/>
  <c r="W39" i="3" a="1"/>
  <c r="W39" i="3"/>
  <c r="U39" i="3"/>
  <c r="T39" i="3"/>
  <c r="S39" i="3"/>
  <c r="P39" i="3"/>
  <c r="O39" i="3"/>
  <c r="N39" i="3"/>
  <c r="AL39" i="3" s="1"/>
  <c r="L39" i="3"/>
  <c r="J39" i="3"/>
  <c r="I39" i="3"/>
  <c r="H39" i="3"/>
  <c r="G39" i="3"/>
  <c r="F39" i="3"/>
  <c r="M39" i="3" s="1"/>
  <c r="D39" i="3"/>
  <c r="C39" i="3"/>
  <c r="B39" i="3"/>
  <c r="AI38" i="3"/>
  <c r="AH38" i="3"/>
  <c r="AG38" i="3"/>
  <c r="V39" i="3" a="1"/>
  <c r="AE39" i="3" a="1"/>
  <c r="AF39" i="3" a="1"/>
  <c r="AF39" i="3" l="1"/>
  <c r="AE39" i="3"/>
  <c r="V39" i="3"/>
  <c r="K39" i="3"/>
  <c r="R39" i="3" s="1"/>
  <c r="Q39" i="3"/>
  <c r="AM39" i="3"/>
  <c r="AK39" i="3"/>
  <c r="X39" i="3" a="1"/>
  <c r="X39" i="3" s="1"/>
  <c r="AA39" i="3" l="1"/>
  <c r="Z39" i="3"/>
  <c r="Y39" i="3"/>
  <c r="E39" i="3" s="1" a="1"/>
  <c r="E39" i="3" s="1"/>
  <c r="AD38" i="3"/>
  <c r="AC38" i="3"/>
  <c r="AB38" i="3" a="1"/>
  <c r="AB38" i="3"/>
  <c r="W38" i="3" a="1"/>
  <c r="W38" i="3"/>
  <c r="U38" i="3"/>
  <c r="T38" i="3"/>
  <c r="S38" i="3"/>
  <c r="P38" i="3"/>
  <c r="O38" i="3"/>
  <c r="N38" i="3"/>
  <c r="AL38" i="3" s="1"/>
  <c r="L38" i="3"/>
  <c r="J38" i="3"/>
  <c r="I38" i="3"/>
  <c r="H38" i="3"/>
  <c r="G38" i="3"/>
  <c r="F38" i="3"/>
  <c r="D38" i="3"/>
  <c r="C38" i="3"/>
  <c r="B38" i="3"/>
  <c r="AI37" i="3"/>
  <c r="AH37" i="3"/>
  <c r="AG37" i="3"/>
  <c r="V38" i="3" a="1"/>
  <c r="AE38" i="3" a="1"/>
  <c r="AF38" i="3" a="1"/>
  <c r="AF38" i="3" l="1"/>
  <c r="AE38" i="3"/>
  <c r="V38" i="3"/>
  <c r="Q38" i="3"/>
  <c r="K38" i="3"/>
  <c r="M38" i="3"/>
  <c r="AM38" i="3"/>
  <c r="AK38" i="3"/>
  <c r="X38" i="3" a="1"/>
  <c r="X38" i="3" s="1"/>
  <c r="R38" i="3" l="1"/>
  <c r="AA38" i="3"/>
  <c r="Z38" i="3"/>
  <c r="Y38" i="3"/>
  <c r="E38" i="3" a="1"/>
  <c r="E38" i="3" s="1"/>
  <c r="AD37" i="3"/>
  <c r="AC37" i="3"/>
  <c r="AB37" i="3" a="1"/>
  <c r="AB37" i="3"/>
  <c r="W37" i="3" a="1"/>
  <c r="W37" i="3"/>
  <c r="U37" i="3"/>
  <c r="T37" i="3"/>
  <c r="P37" i="3"/>
  <c r="O37" i="3"/>
  <c r="N37" i="3"/>
  <c r="AL37" i="3" s="1"/>
  <c r="L37" i="3"/>
  <c r="J37" i="3"/>
  <c r="I37" i="3"/>
  <c r="H37" i="3"/>
  <c r="G37" i="3"/>
  <c r="F37" i="3"/>
  <c r="D37" i="3"/>
  <c r="C37" i="3"/>
  <c r="B37" i="3"/>
  <c r="AI36" i="3"/>
  <c r="AH36" i="3"/>
  <c r="AG36" i="3"/>
  <c r="V37" i="3" a="1"/>
  <c r="AE37" i="3" a="1"/>
  <c r="AF37" i="3" a="1"/>
  <c r="AF37" i="3" l="1"/>
  <c r="AE37" i="3"/>
  <c r="V37" i="3"/>
  <c r="AK37" i="3"/>
  <c r="AM37" i="3"/>
  <c r="X37" i="3" a="1"/>
  <c r="X37" i="3" s="1"/>
  <c r="S37" i="3"/>
  <c r="Q37" i="3"/>
  <c r="K37" i="3"/>
  <c r="R37" i="3" s="1"/>
  <c r="M37" i="3"/>
  <c r="Z37" i="3" l="1"/>
  <c r="Y37" i="3"/>
  <c r="AA37" i="3"/>
  <c r="E37" i="3" a="1"/>
  <c r="E37" i="3" s="1"/>
  <c r="AD36" i="3"/>
  <c r="AC36" i="3"/>
  <c r="AB36" i="3" a="1"/>
  <c r="AB36" i="3"/>
  <c r="W36" i="3" a="1"/>
  <c r="W36" i="3"/>
  <c r="U36" i="3"/>
  <c r="T36" i="3"/>
  <c r="S36" i="3"/>
  <c r="P36" i="3"/>
  <c r="O36" i="3"/>
  <c r="N36" i="3"/>
  <c r="AL36" i="3" s="1"/>
  <c r="L36" i="3"/>
  <c r="J36" i="3"/>
  <c r="I36" i="3"/>
  <c r="H36" i="3"/>
  <c r="K36" i="3" s="1"/>
  <c r="G36" i="3"/>
  <c r="F36" i="3"/>
  <c r="M36" i="3" s="1"/>
  <c r="D36" i="3"/>
  <c r="C36" i="3"/>
  <c r="B36" i="3"/>
  <c r="AI35" i="3"/>
  <c r="AH35" i="3"/>
  <c r="AG35" i="3"/>
  <c r="V36" i="3" a="1"/>
  <c r="AE36" i="3" a="1"/>
  <c r="AF36" i="3" a="1"/>
  <c r="AF36" i="3" l="1"/>
  <c r="AE36" i="3"/>
  <c r="V36" i="3"/>
  <c r="R36" i="3"/>
  <c r="Q36" i="3"/>
  <c r="AK36" i="3"/>
  <c r="AM36" i="3"/>
  <c r="X36" i="3" a="1"/>
  <c r="X36" i="3" s="1"/>
  <c r="AA36" i="3" l="1"/>
  <c r="Z36" i="3"/>
  <c r="Y36" i="3"/>
  <c r="E36" i="3" s="1" a="1"/>
  <c r="E36" i="3" s="1"/>
  <c r="AD35" i="3"/>
  <c r="AC35" i="3"/>
  <c r="AB35" i="3" a="1"/>
  <c r="AB35" i="3"/>
  <c r="W35" i="3" a="1"/>
  <c r="W35" i="3"/>
  <c r="U35" i="3"/>
  <c r="T35" i="3"/>
  <c r="P35" i="3"/>
  <c r="O35" i="3"/>
  <c r="N35" i="3"/>
  <c r="AL35" i="3" s="1"/>
  <c r="L35" i="3"/>
  <c r="J35" i="3"/>
  <c r="I35" i="3"/>
  <c r="H35" i="3"/>
  <c r="G35" i="3"/>
  <c r="F35" i="3"/>
  <c r="Q35" i="3" s="1"/>
  <c r="D35" i="3"/>
  <c r="C35" i="3"/>
  <c r="B35" i="3"/>
  <c r="AI34" i="3"/>
  <c r="AH34" i="3"/>
  <c r="AG34" i="3"/>
  <c r="V35" i="3" a="1"/>
  <c r="AE35" i="3" a="1"/>
  <c r="AF35" i="3" a="1"/>
  <c r="AF35" i="3" l="1"/>
  <c r="AE35" i="3"/>
  <c r="V35" i="3"/>
  <c r="AK35" i="3"/>
  <c r="AM35" i="3"/>
  <c r="X35" i="3" a="1"/>
  <c r="X35" i="3" s="1"/>
  <c r="K35" i="3"/>
  <c r="R35" i="3" s="1"/>
  <c r="S35" i="3"/>
  <c r="M35" i="3"/>
  <c r="AA35" i="3" l="1"/>
  <c r="Y35" i="3"/>
  <c r="Z35" i="3"/>
  <c r="E35" i="3" a="1"/>
  <c r="E35" i="3" s="1"/>
  <c r="AD34" i="3"/>
  <c r="AC34" i="3"/>
  <c r="AB34" i="3" a="1"/>
  <c r="AB34" i="3"/>
  <c r="W34" i="3" a="1"/>
  <c r="W34" i="3"/>
  <c r="U34" i="3"/>
  <c r="T34" i="3"/>
  <c r="P34" i="3"/>
  <c r="O34" i="3"/>
  <c r="N34" i="3"/>
  <c r="AL34" i="3" s="1"/>
  <c r="L34" i="3"/>
  <c r="J34" i="3"/>
  <c r="I34" i="3"/>
  <c r="H34" i="3"/>
  <c r="G34" i="3"/>
  <c r="F34" i="3"/>
  <c r="D34" i="3"/>
  <c r="C34" i="3"/>
  <c r="B34" i="3"/>
  <c r="AI33" i="3"/>
  <c r="AH33" i="3"/>
  <c r="AG33" i="3"/>
  <c r="V34" i="3" a="1"/>
  <c r="AE34" i="3" a="1"/>
  <c r="AF34" i="3" a="1"/>
  <c r="AF34" i="3" l="1"/>
  <c r="AE34" i="3"/>
  <c r="V34" i="3"/>
  <c r="AK34" i="3"/>
  <c r="AM34" i="3"/>
  <c r="X34" i="3" a="1"/>
  <c r="X34" i="3" s="1"/>
  <c r="Q34" i="3"/>
  <c r="K34" i="3"/>
  <c r="R34" i="3" s="1"/>
  <c r="S34" i="3"/>
  <c r="M34" i="3"/>
  <c r="Z34" i="3" l="1"/>
  <c r="Y34" i="3"/>
  <c r="AA34" i="3"/>
  <c r="E34" i="3" a="1"/>
  <c r="E34" i="3" s="1"/>
  <c r="AD33" i="3"/>
  <c r="AC33" i="3"/>
  <c r="AB33" i="3" a="1"/>
  <c r="AB33" i="3"/>
  <c r="W33" i="3" a="1"/>
  <c r="W33" i="3"/>
  <c r="U33" i="3"/>
  <c r="T33" i="3"/>
  <c r="P33" i="3"/>
  <c r="O33" i="3"/>
  <c r="N33" i="3"/>
  <c r="AL33" i="3" s="1"/>
  <c r="L33" i="3"/>
  <c r="J33" i="3"/>
  <c r="I33" i="3"/>
  <c r="H33" i="3"/>
  <c r="G33" i="3"/>
  <c r="F33" i="3"/>
  <c r="K33" i="3" s="1"/>
  <c r="D33" i="3"/>
  <c r="C33" i="3"/>
  <c r="B33" i="3"/>
  <c r="AI32" i="3"/>
  <c r="AH32" i="3"/>
  <c r="AG32" i="3"/>
  <c r="V33" i="3" a="1"/>
  <c r="AE33" i="3" a="1"/>
  <c r="AF33" i="3" a="1"/>
  <c r="AF33" i="3" l="1"/>
  <c r="AE33" i="3"/>
  <c r="V33" i="3"/>
  <c r="Q33" i="3"/>
  <c r="S33" i="3"/>
  <c r="AM33" i="3"/>
  <c r="AK33" i="3"/>
  <c r="X33" i="3" a="1"/>
  <c r="X33" i="3" s="1"/>
  <c r="M33" i="3"/>
  <c r="R33" i="3" l="1"/>
  <c r="Z33" i="3"/>
  <c r="Y33" i="3"/>
  <c r="E33" i="3" s="1" a="1"/>
  <c r="E33" i="3" s="1"/>
  <c r="AA33" i="3"/>
  <c r="AD32" i="3"/>
  <c r="AC32" i="3"/>
  <c r="AB32" i="3" a="1"/>
  <c r="AB32" i="3"/>
  <c r="W32" i="3" a="1"/>
  <c r="W32" i="3"/>
  <c r="U32" i="3"/>
  <c r="T32" i="3"/>
  <c r="P32" i="3"/>
  <c r="O32" i="3"/>
  <c r="N32" i="3"/>
  <c r="AL32" i="3" s="1"/>
  <c r="L32" i="3"/>
  <c r="J32" i="3"/>
  <c r="I32" i="3"/>
  <c r="H32" i="3"/>
  <c r="G32" i="3"/>
  <c r="F32" i="3"/>
  <c r="K32" i="3" s="1"/>
  <c r="D32" i="3"/>
  <c r="C32" i="3"/>
  <c r="B32" i="3"/>
  <c r="AI31" i="3"/>
  <c r="AH31" i="3"/>
  <c r="AG31" i="3"/>
  <c r="V32" i="3" a="1"/>
  <c r="AE32" i="3" a="1"/>
  <c r="AF32" i="3" a="1"/>
  <c r="AF32" i="3" l="1"/>
  <c r="AE32" i="3"/>
  <c r="V32" i="3"/>
  <c r="R32" i="3"/>
  <c r="Q32" i="3"/>
  <c r="S32" i="3"/>
  <c r="AM32" i="3"/>
  <c r="AK32" i="3"/>
  <c r="X32" i="3" a="1"/>
  <c r="X32" i="3" s="1"/>
  <c r="M32" i="3"/>
  <c r="Z32" i="3" l="1"/>
  <c r="AA32" i="3"/>
  <c r="Y32" i="3"/>
  <c r="E32" i="3" s="1" a="1"/>
  <c r="E32" i="3" s="1"/>
  <c r="AD31" i="3"/>
  <c r="AC31" i="3"/>
  <c r="AB31" i="3" a="1"/>
  <c r="AB31" i="3"/>
  <c r="W31" i="3" a="1"/>
  <c r="W31" i="3"/>
  <c r="U31" i="3"/>
  <c r="T31" i="3"/>
  <c r="S31" i="3"/>
  <c r="P31" i="3"/>
  <c r="O31" i="3"/>
  <c r="N31" i="3"/>
  <c r="AL31" i="3" s="1"/>
  <c r="L31" i="3"/>
  <c r="J31" i="3"/>
  <c r="I31" i="3"/>
  <c r="H31" i="3"/>
  <c r="K31" i="3" s="1"/>
  <c r="G31" i="3"/>
  <c r="M31" i="3" s="1"/>
  <c r="F31" i="3"/>
  <c r="D31" i="3"/>
  <c r="C31" i="3"/>
  <c r="B31" i="3"/>
  <c r="AI30" i="3"/>
  <c r="AH30" i="3"/>
  <c r="AG30" i="3"/>
  <c r="V31" i="3" a="1"/>
  <c r="AE31" i="3" a="1"/>
  <c r="AF31" i="3" a="1"/>
  <c r="AF31" i="3" l="1"/>
  <c r="AE31" i="3"/>
  <c r="V31" i="3"/>
  <c r="R31" i="3"/>
  <c r="Q31" i="3"/>
  <c r="AM31" i="3"/>
  <c r="AK31" i="3"/>
  <c r="X31" i="3" a="1"/>
  <c r="X31" i="3" s="1"/>
  <c r="Z31" i="3" l="1"/>
  <c r="AA31" i="3"/>
  <c r="Y31" i="3"/>
  <c r="E31" i="3" s="1" a="1"/>
  <c r="E31" i="3" s="1"/>
  <c r="AD30" i="3"/>
  <c r="AC30" i="3"/>
  <c r="AB30" i="3" a="1"/>
  <c r="AB30" i="3"/>
  <c r="W30" i="3" a="1"/>
  <c r="W30" i="3"/>
  <c r="U30" i="3"/>
  <c r="T30" i="3"/>
  <c r="S30" i="3"/>
  <c r="P30" i="3"/>
  <c r="O30" i="3"/>
  <c r="N30" i="3"/>
  <c r="AL30" i="3" s="1"/>
  <c r="L30" i="3"/>
  <c r="J30" i="3"/>
  <c r="I30" i="3"/>
  <c r="H30" i="3"/>
  <c r="K30" i="3" s="1"/>
  <c r="G30" i="3"/>
  <c r="F30" i="3"/>
  <c r="M30" i="3" s="1"/>
  <c r="D30" i="3"/>
  <c r="C30" i="3"/>
  <c r="B30" i="3"/>
  <c r="AI29" i="3"/>
  <c r="AH29" i="3"/>
  <c r="AG29" i="3"/>
  <c r="V30" i="3" a="1"/>
  <c r="AE30" i="3" a="1"/>
  <c r="AF30" i="3" a="1"/>
  <c r="AF30" i="3" l="1"/>
  <c r="AE30" i="3"/>
  <c r="V30" i="3"/>
  <c r="R30" i="3"/>
  <c r="Q30" i="3"/>
  <c r="AK30" i="3"/>
  <c r="AM30" i="3"/>
  <c r="X30" i="3" a="1"/>
  <c r="X30" i="3" s="1"/>
  <c r="AA30" i="3" l="1"/>
  <c r="Y30" i="3"/>
  <c r="Z30" i="3"/>
  <c r="E30" i="3" s="1" a="1"/>
  <c r="E30" i="3" s="1"/>
  <c r="AD29" i="3"/>
  <c r="AC29" i="3"/>
  <c r="AB29" i="3" a="1"/>
  <c r="AB29" i="3"/>
  <c r="W29" i="3" a="1"/>
  <c r="W29" i="3"/>
  <c r="U29" i="3"/>
  <c r="T29" i="3"/>
  <c r="S29" i="3"/>
  <c r="P29" i="3"/>
  <c r="O29" i="3"/>
  <c r="N29" i="3"/>
  <c r="AL29" i="3" s="1"/>
  <c r="L29" i="3"/>
  <c r="J29" i="3"/>
  <c r="I29" i="3"/>
  <c r="H29" i="3"/>
  <c r="G29" i="3"/>
  <c r="M29" i="3" s="1"/>
  <c r="F29" i="3"/>
  <c r="D29" i="3"/>
  <c r="C29" i="3"/>
  <c r="B29" i="3"/>
  <c r="AI28" i="3"/>
  <c r="AH28" i="3"/>
  <c r="AG28" i="3"/>
  <c r="V29" i="3" a="1"/>
  <c r="AE29" i="3" a="1"/>
  <c r="AF29" i="3" a="1"/>
  <c r="AF29" i="3" l="1"/>
  <c r="AE29" i="3"/>
  <c r="V29" i="3"/>
  <c r="Q29" i="3"/>
  <c r="K29" i="3"/>
  <c r="R29" i="3" s="1"/>
  <c r="AK29" i="3"/>
  <c r="AM29" i="3"/>
  <c r="X29" i="3" a="1"/>
  <c r="X29" i="3" s="1"/>
  <c r="AA29" i="3" l="1"/>
  <c r="Z29" i="3"/>
  <c r="Y29" i="3"/>
  <c r="E29" i="3" s="1" a="1"/>
  <c r="E29" i="3" s="1"/>
  <c r="AD28" i="3"/>
  <c r="AC28" i="3"/>
  <c r="AB28" i="3" a="1"/>
  <c r="AB28" i="3"/>
  <c r="W28" i="3" a="1"/>
  <c r="W28" i="3"/>
  <c r="U28" i="3"/>
  <c r="T28" i="3"/>
  <c r="S28" i="3"/>
  <c r="P28" i="3"/>
  <c r="O28" i="3"/>
  <c r="N28" i="3"/>
  <c r="AL28" i="3" s="1"/>
  <c r="L28" i="3"/>
  <c r="J28" i="3"/>
  <c r="I28" i="3"/>
  <c r="H28" i="3"/>
  <c r="G28" i="3"/>
  <c r="F28" i="3"/>
  <c r="D28" i="3"/>
  <c r="C28" i="3"/>
  <c r="B28" i="3"/>
  <c r="AI27" i="3"/>
  <c r="AH27" i="3"/>
  <c r="AG27" i="3"/>
  <c r="V28" i="3" a="1"/>
  <c r="AE28" i="3" a="1"/>
  <c r="AF28" i="3" a="1"/>
  <c r="AF28" i="3" l="1"/>
  <c r="AE28" i="3"/>
  <c r="V28" i="3"/>
  <c r="Q28" i="3"/>
  <c r="K28" i="3"/>
  <c r="M28" i="3"/>
  <c r="AK28" i="3"/>
  <c r="AM28" i="3"/>
  <c r="X28" i="3" a="1"/>
  <c r="X28" i="3" s="1"/>
  <c r="R28" i="3" l="1"/>
  <c r="AA28" i="3"/>
  <c r="Z28" i="3"/>
  <c r="Y28" i="3"/>
  <c r="E28" i="3" s="1" a="1"/>
  <c r="E28" i="3" s="1"/>
  <c r="AD27" i="3"/>
  <c r="AC27" i="3"/>
  <c r="AB27" i="3" a="1"/>
  <c r="AB27" i="3"/>
  <c r="W27" i="3" a="1"/>
  <c r="W27" i="3"/>
  <c r="U27" i="3"/>
  <c r="T27" i="3"/>
  <c r="S27" i="3"/>
  <c r="P27" i="3"/>
  <c r="O27" i="3"/>
  <c r="N27" i="3"/>
  <c r="AL27" i="3" s="1"/>
  <c r="L27" i="3"/>
  <c r="J27" i="3"/>
  <c r="I27" i="3"/>
  <c r="H27" i="3"/>
  <c r="Q27" i="3" s="1"/>
  <c r="G27" i="3"/>
  <c r="K27" i="3" s="1"/>
  <c r="F27" i="3"/>
  <c r="D27" i="3"/>
  <c r="C27" i="3"/>
  <c r="B27" i="3"/>
  <c r="AI26" i="3"/>
  <c r="AH26" i="3"/>
  <c r="AG26" i="3"/>
  <c r="V27" i="3" a="1"/>
  <c r="AE27" i="3" a="1"/>
  <c r="AF27" i="3" a="1"/>
  <c r="AF27" i="3" l="1"/>
  <c r="AE27" i="3"/>
  <c r="V27" i="3"/>
  <c r="M27" i="3"/>
  <c r="R27" i="3" s="1"/>
  <c r="AK27" i="3"/>
  <c r="AM27" i="3"/>
  <c r="X27" i="3" a="1"/>
  <c r="X27" i="3" s="1"/>
  <c r="AA27" i="3" l="1"/>
  <c r="Z27" i="3"/>
  <c r="Y27" i="3"/>
  <c r="E27" i="3" s="1" a="1"/>
  <c r="E27" i="3" s="1"/>
  <c r="AD26" i="3"/>
  <c r="AC26" i="3"/>
  <c r="AB26" i="3" a="1"/>
  <c r="AB26" i="3"/>
  <c r="W26" i="3" a="1"/>
  <c r="W26" i="3"/>
  <c r="U26" i="3"/>
  <c r="T26" i="3"/>
  <c r="S26" i="3"/>
  <c r="P26" i="3"/>
  <c r="O26" i="3"/>
  <c r="N26" i="3"/>
  <c r="AL26" i="3" s="1"/>
  <c r="L26" i="3"/>
  <c r="J26" i="3"/>
  <c r="I26" i="3"/>
  <c r="H26" i="3"/>
  <c r="Q26" i="3" s="1"/>
  <c r="G26" i="3"/>
  <c r="F26" i="3"/>
  <c r="M26" i="3" s="1"/>
  <c r="D26" i="3"/>
  <c r="C26" i="3"/>
  <c r="B26" i="3"/>
  <c r="AI25" i="3"/>
  <c r="AH25" i="3"/>
  <c r="AG25" i="3"/>
  <c r="V26" i="3" a="1"/>
  <c r="AE26" i="3" a="1"/>
  <c r="AF26" i="3" a="1"/>
  <c r="AF26" i="3" l="1"/>
  <c r="AE26" i="3"/>
  <c r="V26" i="3"/>
  <c r="K26" i="3"/>
  <c r="R26" i="3" s="1"/>
  <c r="AK26" i="3"/>
  <c r="AM26" i="3"/>
  <c r="X26" i="3" a="1"/>
  <c r="X26" i="3" s="1"/>
  <c r="Y26" i="3" l="1"/>
  <c r="AA26" i="3"/>
  <c r="Z26" i="3"/>
  <c r="E26" i="3" a="1"/>
  <c r="E26" i="3" s="1"/>
  <c r="AD25" i="3"/>
  <c r="AC25" i="3"/>
  <c r="AB25" i="3" a="1"/>
  <c r="AB25" i="3"/>
  <c r="W25" i="3" a="1"/>
  <c r="W25" i="3"/>
  <c r="U25" i="3"/>
  <c r="T25" i="3"/>
  <c r="S25" i="3"/>
  <c r="P25" i="3"/>
  <c r="O25" i="3"/>
  <c r="N25" i="3"/>
  <c r="AL25" i="3" s="1"/>
  <c r="L25" i="3"/>
  <c r="J25" i="3"/>
  <c r="I25" i="3"/>
  <c r="H25" i="3"/>
  <c r="K25" i="3" s="1"/>
  <c r="G25" i="3"/>
  <c r="M25" i="3" s="1"/>
  <c r="F25" i="3"/>
  <c r="D25" i="3"/>
  <c r="C25" i="3"/>
  <c r="B25" i="3"/>
  <c r="AI24" i="3"/>
  <c r="AH24" i="3"/>
  <c r="AG24" i="3"/>
  <c r="V25" i="3" a="1"/>
  <c r="AE25" i="3" a="1"/>
  <c r="AF25" i="3" a="1"/>
  <c r="AF25" i="3" l="1"/>
  <c r="AE25" i="3"/>
  <c r="V25" i="3"/>
  <c r="R25" i="3"/>
  <c r="Q25" i="3"/>
  <c r="AK25" i="3"/>
  <c r="AM25" i="3"/>
  <c r="X25" i="3" a="1"/>
  <c r="X25" i="3" s="1"/>
  <c r="AA25" i="3" l="1"/>
  <c r="Y25" i="3"/>
  <c r="E25" i="3" s="1" a="1"/>
  <c r="E25" i="3" s="1"/>
  <c r="Z25" i="3"/>
  <c r="AD24" i="3"/>
  <c r="AC24" i="3"/>
  <c r="AB24" i="3" a="1"/>
  <c r="AB24" i="3"/>
  <c r="W24" i="3" a="1"/>
  <c r="W24" i="3"/>
  <c r="U24" i="3"/>
  <c r="T24" i="3"/>
  <c r="P24" i="3"/>
  <c r="O24" i="3"/>
  <c r="N24" i="3"/>
  <c r="AL24" i="3" s="1"/>
  <c r="L24" i="3"/>
  <c r="J24" i="3"/>
  <c r="I24" i="3"/>
  <c r="H24" i="3"/>
  <c r="G24" i="3"/>
  <c r="F24" i="3"/>
  <c r="Q24" i="3" s="1"/>
  <c r="D24" i="3"/>
  <c r="C24" i="3"/>
  <c r="B24" i="3"/>
  <c r="AI23" i="3"/>
  <c r="AH23" i="3"/>
  <c r="AG23" i="3"/>
  <c r="V24" i="3" a="1"/>
  <c r="AE24" i="3" a="1"/>
  <c r="AF24" i="3" a="1"/>
  <c r="AF24" i="3" l="1"/>
  <c r="AE24" i="3"/>
  <c r="V24" i="3"/>
  <c r="AK24" i="3"/>
  <c r="AM24" i="3"/>
  <c r="X24" i="3" a="1"/>
  <c r="X24" i="3" s="1"/>
  <c r="K24" i="3"/>
  <c r="R24" i="3" s="1"/>
  <c r="S24" i="3"/>
  <c r="M24" i="3"/>
  <c r="AA24" i="3" l="1"/>
  <c r="Z24" i="3"/>
  <c r="Y24" i="3"/>
  <c r="E24" i="3" a="1"/>
  <c r="E24" i="3" s="1"/>
  <c r="AD23" i="3"/>
  <c r="AC23" i="3"/>
  <c r="AB23" i="3" a="1"/>
  <c r="AB23" i="3"/>
  <c r="W23" i="3" a="1"/>
  <c r="W23" i="3"/>
  <c r="U23" i="3"/>
  <c r="T23" i="3"/>
  <c r="P23" i="3"/>
  <c r="O23" i="3"/>
  <c r="N23" i="3"/>
  <c r="AL23" i="3" s="1"/>
  <c r="L23" i="3"/>
  <c r="J23" i="3"/>
  <c r="I23" i="3"/>
  <c r="H23" i="3"/>
  <c r="G23" i="3"/>
  <c r="F23" i="3"/>
  <c r="K23" i="3" s="1"/>
  <c r="D23" i="3"/>
  <c r="C23" i="3"/>
  <c r="B23" i="3"/>
  <c r="AI22" i="3"/>
  <c r="AH22" i="3"/>
  <c r="AG22" i="3"/>
  <c r="V23" i="3" a="1"/>
  <c r="AE23" i="3" a="1"/>
  <c r="AF23" i="3" a="1"/>
  <c r="AF23" i="3" l="1"/>
  <c r="AE23" i="3"/>
  <c r="V23" i="3"/>
  <c r="R23" i="3"/>
  <c r="S23" i="3"/>
  <c r="AM23" i="3"/>
  <c r="AK23" i="3"/>
  <c r="X23" i="3" a="1"/>
  <c r="X23" i="3" s="1"/>
  <c r="Q23" i="3"/>
  <c r="M23" i="3"/>
  <c r="AA23" i="3" l="1"/>
  <c r="Z23" i="3"/>
  <c r="Y23" i="3"/>
  <c r="E23" i="3" s="1" a="1"/>
  <c r="E23" i="3" s="1"/>
  <c r="AD22" i="3"/>
  <c r="AC22" i="3"/>
  <c r="AB22" i="3" a="1"/>
  <c r="AB22" i="3"/>
  <c r="W22" i="3" a="1"/>
  <c r="W22" i="3"/>
  <c r="U22" i="3"/>
  <c r="T22" i="3"/>
  <c r="S22" i="3"/>
  <c r="P22" i="3"/>
  <c r="O22" i="3"/>
  <c r="N22" i="3"/>
  <c r="AL22" i="3" s="1"/>
  <c r="L22" i="3"/>
  <c r="J22" i="3"/>
  <c r="I22" i="3"/>
  <c r="H22" i="3"/>
  <c r="Q22" i="3" s="1"/>
  <c r="G22" i="3"/>
  <c r="M22" i="3" s="1"/>
  <c r="F22" i="3"/>
  <c r="D22" i="3"/>
  <c r="C22" i="3"/>
  <c r="B22" i="3"/>
  <c r="AI21" i="3"/>
  <c r="AH21" i="3"/>
  <c r="AG21" i="3"/>
  <c r="V22" i="3" a="1"/>
  <c r="AE22" i="3" a="1"/>
  <c r="AF22" i="3" a="1"/>
  <c r="AF22" i="3" l="1"/>
  <c r="AE22" i="3"/>
  <c r="V22" i="3"/>
  <c r="K22" i="3"/>
  <c r="R22" i="3" s="1"/>
  <c r="AK22" i="3"/>
  <c r="AM22" i="3"/>
  <c r="X22" i="3" a="1"/>
  <c r="X22" i="3" s="1"/>
  <c r="AA22" i="3" l="1"/>
  <c r="Z22" i="3"/>
  <c r="Y22" i="3"/>
  <c r="E22" i="3" s="1" a="1"/>
  <c r="E22" i="3" s="1"/>
  <c r="AD21" i="3"/>
  <c r="AC21" i="3"/>
  <c r="AB21" i="3" a="1"/>
  <c r="AB21" i="3"/>
  <c r="W21" i="3" a="1"/>
  <c r="W21" i="3"/>
  <c r="U21" i="3"/>
  <c r="T21" i="3"/>
  <c r="S21" i="3"/>
  <c r="P21" i="3"/>
  <c r="O21" i="3"/>
  <c r="N21" i="3"/>
  <c r="AL21" i="3" s="1"/>
  <c r="L21" i="3"/>
  <c r="J21" i="3"/>
  <c r="I21" i="3"/>
  <c r="H21" i="3"/>
  <c r="K21" i="3" s="1"/>
  <c r="G21" i="3"/>
  <c r="F21" i="3"/>
  <c r="D21" i="3"/>
  <c r="C21" i="3"/>
  <c r="B21" i="3"/>
  <c r="AI20" i="3"/>
  <c r="AH20" i="3"/>
  <c r="AG20" i="3"/>
  <c r="V21" i="3" a="1"/>
  <c r="AE21" i="3" a="1"/>
  <c r="AF21" i="3" a="1"/>
  <c r="AF21" i="3" l="1"/>
  <c r="AE21" i="3"/>
  <c r="V21" i="3"/>
  <c r="Q21" i="3"/>
  <c r="M21" i="3"/>
  <c r="AK21" i="3"/>
  <c r="AM21" i="3"/>
  <c r="X21" i="3" a="1"/>
  <c r="X21" i="3" s="1"/>
  <c r="R21" i="3" l="1"/>
  <c r="E21" i="3" s="1" a="1"/>
  <c r="E21" i="3" s="1"/>
  <c r="AA21" i="3"/>
  <c r="Z21" i="3"/>
  <c r="Y21" i="3"/>
  <c r="AD20" i="3"/>
  <c r="AC20" i="3"/>
  <c r="AB20" i="3" a="1"/>
  <c r="AB20" i="3"/>
  <c r="W20" i="3" a="1"/>
  <c r="W20" i="3"/>
  <c r="U20" i="3"/>
  <c r="T20" i="3"/>
  <c r="S20" i="3"/>
  <c r="P20" i="3"/>
  <c r="O20" i="3"/>
  <c r="N20" i="3"/>
  <c r="AL20" i="3" s="1"/>
  <c r="L20" i="3"/>
  <c r="J20" i="3"/>
  <c r="I20" i="3"/>
  <c r="H20" i="3"/>
  <c r="Q20" i="3" s="1"/>
  <c r="G20" i="3"/>
  <c r="F20" i="3"/>
  <c r="D20" i="3"/>
  <c r="C20" i="3"/>
  <c r="B20" i="3"/>
  <c r="AI19" i="3"/>
  <c r="AH19" i="3"/>
  <c r="AG19" i="3"/>
  <c r="V20" i="3" a="1"/>
  <c r="AE20" i="3" a="1"/>
  <c r="AF20" i="3" a="1"/>
  <c r="AF20" i="3" l="1"/>
  <c r="AE20" i="3"/>
  <c r="V20" i="3"/>
  <c r="K20" i="3"/>
  <c r="R20" i="3" s="1"/>
  <c r="M20" i="3"/>
  <c r="AK20" i="3"/>
  <c r="AM20" i="3"/>
  <c r="X20" i="3" a="1"/>
  <c r="X20" i="3" s="1"/>
  <c r="AA20" i="3" l="1"/>
  <c r="Z20" i="3"/>
  <c r="Y20" i="3"/>
  <c r="E20" i="3" s="1" a="1"/>
  <c r="E20" i="3" s="1"/>
  <c r="AD19" i="3"/>
  <c r="AC19" i="3"/>
  <c r="AB19" i="3" a="1"/>
  <c r="AB19" i="3"/>
  <c r="W19" i="3" a="1"/>
  <c r="W19" i="3"/>
  <c r="U19" i="3"/>
  <c r="T19" i="3"/>
  <c r="S19" i="3"/>
  <c r="P19" i="3"/>
  <c r="O19" i="3"/>
  <c r="N19" i="3"/>
  <c r="AL19" i="3" s="1"/>
  <c r="L19" i="3"/>
  <c r="J19" i="3"/>
  <c r="I19" i="3"/>
  <c r="H19" i="3"/>
  <c r="G19" i="3"/>
  <c r="M19" i="3" s="1"/>
  <c r="F19" i="3"/>
  <c r="D19" i="3"/>
  <c r="C19" i="3"/>
  <c r="B19" i="3"/>
  <c r="AI18" i="3"/>
  <c r="AH18" i="3"/>
  <c r="AG18" i="3"/>
  <c r="V19" i="3" a="1"/>
  <c r="AE19" i="3" a="1"/>
  <c r="AF19" i="3" a="1"/>
  <c r="AF19" i="3" l="1"/>
  <c r="AE19" i="3"/>
  <c r="V19" i="3"/>
  <c r="Q19" i="3"/>
  <c r="K19" i="3"/>
  <c r="R19" i="3" s="1"/>
  <c r="AK19" i="3"/>
  <c r="AM19" i="3"/>
  <c r="X19" i="3" a="1"/>
  <c r="X19" i="3" s="1"/>
  <c r="Y19" i="3" l="1"/>
  <c r="E19" i="3" s="1" a="1"/>
  <c r="E19" i="3" s="1"/>
  <c r="AA19" i="3"/>
  <c r="Z19" i="3"/>
  <c r="AD18" i="3"/>
  <c r="AC18" i="3"/>
  <c r="AB18" i="3" a="1"/>
  <c r="AB18" i="3"/>
  <c r="W18" i="3" a="1"/>
  <c r="W18" i="3"/>
  <c r="U18" i="3"/>
  <c r="T18" i="3"/>
  <c r="S18" i="3"/>
  <c r="P18" i="3"/>
  <c r="O18" i="3"/>
  <c r="N18" i="3"/>
  <c r="AL18" i="3" s="1"/>
  <c r="L18" i="3"/>
  <c r="J18" i="3"/>
  <c r="I18" i="3"/>
  <c r="H18" i="3"/>
  <c r="K18" i="3" s="1"/>
  <c r="G18" i="3"/>
  <c r="F18" i="3"/>
  <c r="D18" i="3"/>
  <c r="C18" i="3"/>
  <c r="B18" i="3"/>
  <c r="AI17" i="3"/>
  <c r="AH17" i="3"/>
  <c r="AG17" i="3"/>
  <c r="V18" i="3" a="1"/>
  <c r="AE18" i="3" a="1"/>
  <c r="AF18" i="3" a="1"/>
  <c r="AF18" i="3" l="1"/>
  <c r="AE18" i="3"/>
  <c r="V18" i="3"/>
  <c r="Q18" i="3"/>
  <c r="M18" i="3"/>
  <c r="R18" i="3" s="1"/>
  <c r="AK18" i="3"/>
  <c r="AM18" i="3"/>
  <c r="X18" i="3" a="1"/>
  <c r="X18" i="3" s="1"/>
  <c r="AA18" i="3" l="1"/>
  <c r="Z18" i="3"/>
  <c r="Y18" i="3"/>
  <c r="E18" i="3" s="1" a="1"/>
  <c r="E18" i="3" s="1"/>
  <c r="AD17" i="3"/>
  <c r="AC17" i="3"/>
  <c r="AB17" i="3" a="1"/>
  <c r="AB17" i="3"/>
  <c r="W17" i="3" a="1"/>
  <c r="W17" i="3"/>
  <c r="U17" i="3"/>
  <c r="T17" i="3"/>
  <c r="S17" i="3"/>
  <c r="P17" i="3"/>
  <c r="O17" i="3"/>
  <c r="N17" i="3"/>
  <c r="AL17" i="3" s="1"/>
  <c r="L17" i="3"/>
  <c r="J17" i="3"/>
  <c r="I17" i="3"/>
  <c r="H17" i="3"/>
  <c r="Q17" i="3" s="1"/>
  <c r="G17" i="3"/>
  <c r="F17" i="3"/>
  <c r="D17" i="3"/>
  <c r="C17" i="3"/>
  <c r="B17" i="3"/>
  <c r="AI16" i="3"/>
  <c r="AH16" i="3"/>
  <c r="AG16" i="3"/>
  <c r="V17" i="3" a="1"/>
  <c r="AE17" i="3" a="1"/>
  <c r="AF17" i="3" a="1"/>
  <c r="AF17" i="3" l="1"/>
  <c r="AE17" i="3"/>
  <c r="V17" i="3"/>
  <c r="K17" i="3"/>
  <c r="M17" i="3"/>
  <c r="AK17" i="3"/>
  <c r="AM17" i="3"/>
  <c r="X17" i="3" a="1"/>
  <c r="X17" i="3" s="1"/>
  <c r="R17" i="3" l="1"/>
  <c r="E17" i="3" s="1" a="1"/>
  <c r="E17" i="3" s="1"/>
  <c r="AA17" i="3"/>
  <c r="Z17" i="3"/>
  <c r="Y17" i="3"/>
  <c r="AD16" i="3"/>
  <c r="AC16" i="3"/>
  <c r="AB16" i="3" a="1"/>
  <c r="AB16" i="3"/>
  <c r="W16" i="3" a="1"/>
  <c r="W16" i="3"/>
  <c r="U16" i="3"/>
  <c r="T16" i="3"/>
  <c r="S16" i="3"/>
  <c r="P16" i="3"/>
  <c r="O16" i="3"/>
  <c r="N16" i="3"/>
  <c r="AL16" i="3" s="1"/>
  <c r="L16" i="3"/>
  <c r="J16" i="3"/>
  <c r="I16" i="3"/>
  <c r="H16" i="3"/>
  <c r="Q16" i="3" s="1"/>
  <c r="G16" i="3"/>
  <c r="M16" i="3" s="1"/>
  <c r="F16" i="3"/>
  <c r="D16" i="3"/>
  <c r="C16" i="3"/>
  <c r="B16" i="3"/>
  <c r="AI15" i="3"/>
  <c r="AH15" i="3"/>
  <c r="AG15" i="3"/>
  <c r="V16" i="3" a="1"/>
  <c r="AE16" i="3" a="1"/>
  <c r="AF16" i="3" a="1"/>
  <c r="AF16" i="3" l="1"/>
  <c r="AE16" i="3"/>
  <c r="V16" i="3"/>
  <c r="K16" i="3"/>
  <c r="R16" i="3" s="1"/>
  <c r="AK16" i="3"/>
  <c r="AM16" i="3"/>
  <c r="X16" i="3" a="1"/>
  <c r="X16" i="3" s="1"/>
  <c r="AA16" i="3" l="1"/>
  <c r="Z16" i="3"/>
  <c r="Y16" i="3"/>
  <c r="E16" i="3" a="1"/>
  <c r="E16" i="3" s="1"/>
  <c r="AD15" i="3"/>
  <c r="AC15" i="3"/>
  <c r="AB15" i="3" a="1"/>
  <c r="AB15" i="3"/>
  <c r="W15" i="3" a="1"/>
  <c r="W15" i="3"/>
  <c r="U15" i="3"/>
  <c r="T15" i="3"/>
  <c r="S15" i="3"/>
  <c r="P15" i="3"/>
  <c r="O15" i="3"/>
  <c r="N15" i="3"/>
  <c r="AL15" i="3" s="1"/>
  <c r="L15" i="3"/>
  <c r="J15" i="3"/>
  <c r="I15" i="3"/>
  <c r="H15" i="3"/>
  <c r="Q15" i="3" s="1"/>
  <c r="G15" i="3"/>
  <c r="F15" i="3"/>
  <c r="D15" i="3"/>
  <c r="C15" i="3"/>
  <c r="B15" i="3"/>
  <c r="AI14" i="3"/>
  <c r="AH14" i="3"/>
  <c r="AG14" i="3"/>
  <c r="V15" i="3" a="1"/>
  <c r="AE15" i="3" a="1"/>
  <c r="AF15" i="3" a="1"/>
  <c r="AF15" i="3" l="1"/>
  <c r="AE15" i="3"/>
  <c r="V15" i="3"/>
  <c r="K15" i="3"/>
  <c r="R15" i="3" s="1"/>
  <c r="M15" i="3"/>
  <c r="AK15" i="3"/>
  <c r="AM15" i="3"/>
  <c r="X15" i="3" a="1"/>
  <c r="X15" i="3" s="1"/>
  <c r="AA15" i="3" l="1"/>
  <c r="Z15" i="3"/>
  <c r="Y15" i="3"/>
  <c r="E15" i="3" s="1" a="1"/>
  <c r="E15" i="3" s="1"/>
  <c r="AD14" i="3"/>
  <c r="AC14" i="3"/>
  <c r="AB14" i="3" a="1"/>
  <c r="AB14" i="3"/>
  <c r="W14" i="3" a="1"/>
  <c r="W14" i="3"/>
  <c r="U14" i="3"/>
  <c r="T14" i="3"/>
  <c r="S14" i="3"/>
  <c r="P14" i="3"/>
  <c r="O14" i="3"/>
  <c r="N14" i="3"/>
  <c r="AL14" i="3" s="1"/>
  <c r="L14" i="3"/>
  <c r="J14" i="3"/>
  <c r="I14" i="3"/>
  <c r="H14" i="3"/>
  <c r="K14" i="3" s="1"/>
  <c r="R14" i="3" s="1"/>
  <c r="G14" i="3"/>
  <c r="M14" i="3" s="1"/>
  <c r="F14" i="3"/>
  <c r="D14" i="3"/>
  <c r="C14" i="3"/>
  <c r="B14" i="3"/>
  <c r="I17" i="1"/>
  <c r="J17" i="1"/>
  <c r="X17" i="1"/>
  <c r="Y17" i="1"/>
  <c r="AA17" i="1"/>
  <c r="I18" i="1"/>
  <c r="J18" i="1"/>
  <c r="X18" i="1"/>
  <c r="Y18" i="1"/>
  <c r="AA18" i="1"/>
  <c r="I19" i="1"/>
  <c r="J19" i="1"/>
  <c r="X19" i="1"/>
  <c r="Y19" i="1"/>
  <c r="AA19" i="1"/>
  <c r="I20" i="1"/>
  <c r="J20" i="1"/>
  <c r="X20" i="1"/>
  <c r="Y20" i="1"/>
  <c r="AA20" i="1"/>
  <c r="I21" i="1"/>
  <c r="J21" i="1"/>
  <c r="X21" i="1"/>
  <c r="Y21" i="1"/>
  <c r="AA21" i="1"/>
  <c r="I22" i="1"/>
  <c r="J22" i="1"/>
  <c r="X22" i="1"/>
  <c r="Y22" i="1"/>
  <c r="AA22" i="1"/>
  <c r="I23" i="1"/>
  <c r="J23" i="1"/>
  <c r="X23" i="1"/>
  <c r="Y23" i="1"/>
  <c r="AA23" i="1"/>
  <c r="I24" i="1"/>
  <c r="J24" i="1"/>
  <c r="X24" i="1"/>
  <c r="Y24" i="1"/>
  <c r="AA24" i="1"/>
  <c r="I25" i="1"/>
  <c r="J25" i="1"/>
  <c r="X25" i="1"/>
  <c r="Y25" i="1"/>
  <c r="AA25" i="1"/>
  <c r="I26" i="1"/>
  <c r="J26" i="1"/>
  <c r="X26" i="1"/>
  <c r="Y26" i="1"/>
  <c r="AA26" i="1"/>
  <c r="I27" i="1"/>
  <c r="J27" i="1"/>
  <c r="X27" i="1"/>
  <c r="Y27" i="1"/>
  <c r="AA27" i="1"/>
  <c r="I28" i="1"/>
  <c r="J28" i="1"/>
  <c r="X28" i="1"/>
  <c r="Y28" i="1"/>
  <c r="AA28" i="1"/>
  <c r="I29" i="1"/>
  <c r="J29" i="1"/>
  <c r="X29" i="1"/>
  <c r="Y29" i="1"/>
  <c r="AA29" i="1"/>
  <c r="I30" i="1"/>
  <c r="J30" i="1"/>
  <c r="X30" i="1"/>
  <c r="Y30" i="1"/>
  <c r="AA30" i="1"/>
  <c r="I31" i="1"/>
  <c r="J31" i="1"/>
  <c r="X31" i="1"/>
  <c r="Y31" i="1"/>
  <c r="AA31" i="1"/>
  <c r="I32" i="1"/>
  <c r="J32" i="1"/>
  <c r="X32" i="1"/>
  <c r="Y32" i="1"/>
  <c r="AA32" i="1"/>
  <c r="I33" i="1"/>
  <c r="J33" i="1"/>
  <c r="X33" i="1"/>
  <c r="Y33" i="1"/>
  <c r="AA33" i="1"/>
  <c r="I34" i="1"/>
  <c r="J34" i="1"/>
  <c r="X34" i="1"/>
  <c r="Y34" i="1"/>
  <c r="AA34" i="1"/>
  <c r="I35" i="1"/>
  <c r="J35" i="1"/>
  <c r="X35" i="1"/>
  <c r="Y35" i="1"/>
  <c r="AA35" i="1"/>
  <c r="I36" i="1"/>
  <c r="J36" i="1"/>
  <c r="X36" i="1"/>
  <c r="Y36" i="1"/>
  <c r="AA36" i="1"/>
  <c r="I37" i="1"/>
  <c r="J37" i="1"/>
  <c r="X37" i="1"/>
  <c r="Y37" i="1"/>
  <c r="AA37" i="1"/>
  <c r="I38" i="1"/>
  <c r="J38" i="1"/>
  <c r="X38" i="1"/>
  <c r="Y38" i="1"/>
  <c r="AA38" i="1"/>
  <c r="I39" i="1"/>
  <c r="J39" i="1"/>
  <c r="X39" i="1"/>
  <c r="Y39" i="1"/>
  <c r="AA39" i="1"/>
  <c r="I40" i="1"/>
  <c r="J40" i="1"/>
  <c r="X40" i="1"/>
  <c r="Y40" i="1"/>
  <c r="AA40" i="1"/>
  <c r="I41" i="1"/>
  <c r="J41" i="1"/>
  <c r="X41" i="1"/>
  <c r="Y41" i="1"/>
  <c r="AA41" i="1"/>
  <c r="I42" i="1"/>
  <c r="J42" i="1"/>
  <c r="X42" i="1"/>
  <c r="Y42" i="1"/>
  <c r="AA42" i="1"/>
  <c r="I43" i="1"/>
  <c r="J43" i="1"/>
  <c r="X43" i="1"/>
  <c r="Y43" i="1"/>
  <c r="AA43" i="1"/>
  <c r="I44" i="1"/>
  <c r="J44" i="1"/>
  <c r="X44" i="1"/>
  <c r="Y44" i="1"/>
  <c r="AA44" i="1"/>
  <c r="I45" i="1"/>
  <c r="J45" i="1"/>
  <c r="X45" i="1"/>
  <c r="Y45" i="1"/>
  <c r="AA45" i="1"/>
  <c r="I46" i="1"/>
  <c r="J46" i="1"/>
  <c r="X46" i="1"/>
  <c r="Y46" i="1"/>
  <c r="AA46" i="1"/>
  <c r="I47" i="1"/>
  <c r="J47" i="1"/>
  <c r="X47" i="1"/>
  <c r="Y47" i="1"/>
  <c r="AA47" i="1"/>
  <c r="I48" i="1"/>
  <c r="J48" i="1"/>
  <c r="X48" i="1"/>
  <c r="Y48" i="1"/>
  <c r="AA48" i="1"/>
  <c r="I49" i="1"/>
  <c r="J49" i="1"/>
  <c r="X49" i="1"/>
  <c r="Y49" i="1"/>
  <c r="AA49" i="1"/>
  <c r="I50" i="1"/>
  <c r="J50" i="1"/>
  <c r="X50" i="1"/>
  <c r="Y50" i="1"/>
  <c r="AA50" i="1"/>
  <c r="I51" i="1"/>
  <c r="J51" i="1"/>
  <c r="X51" i="1"/>
  <c r="Y51" i="1"/>
  <c r="AA51" i="1"/>
  <c r="I52" i="1"/>
  <c r="J52" i="1"/>
  <c r="X52" i="1"/>
  <c r="Y52" i="1"/>
  <c r="AA52" i="1"/>
  <c r="I53" i="1"/>
  <c r="J53" i="1"/>
  <c r="X53" i="1"/>
  <c r="Y53" i="1"/>
  <c r="AA53" i="1"/>
  <c r="I54" i="1"/>
  <c r="J54" i="1"/>
  <c r="X54" i="1"/>
  <c r="Y54" i="1"/>
  <c r="AA54" i="1"/>
  <c r="I55" i="1"/>
  <c r="J55" i="1"/>
  <c r="X55" i="1"/>
  <c r="Y55" i="1"/>
  <c r="AA55" i="1"/>
  <c r="I56" i="1"/>
  <c r="J56" i="1"/>
  <c r="X56" i="1"/>
  <c r="Y56" i="1"/>
  <c r="AA56" i="1"/>
  <c r="I57" i="1"/>
  <c r="J57" i="1"/>
  <c r="X57" i="1"/>
  <c r="Y57" i="1"/>
  <c r="AA57" i="1"/>
  <c r="I58" i="1"/>
  <c r="J58" i="1"/>
  <c r="X58" i="1"/>
  <c r="Y58" i="1"/>
  <c r="AA58" i="1"/>
  <c r="I59" i="1"/>
  <c r="J59" i="1"/>
  <c r="X59" i="1"/>
  <c r="Y59" i="1"/>
  <c r="AA59" i="1"/>
  <c r="I60" i="1"/>
  <c r="J60" i="1"/>
  <c r="X60" i="1"/>
  <c r="Y60" i="1"/>
  <c r="AA60" i="1"/>
  <c r="I61" i="1"/>
  <c r="J61" i="1"/>
  <c r="X61" i="1"/>
  <c r="Y61" i="1"/>
  <c r="AA61" i="1"/>
  <c r="I62" i="1"/>
  <c r="J62" i="1"/>
  <c r="X62" i="1"/>
  <c r="Y62" i="1"/>
  <c r="AA62" i="1"/>
  <c r="I63" i="1"/>
  <c r="J63" i="1"/>
  <c r="X63" i="1"/>
  <c r="Y63" i="1"/>
  <c r="AA63" i="1"/>
  <c r="I64" i="1"/>
  <c r="J64" i="1"/>
  <c r="X64" i="1"/>
  <c r="Y64" i="1"/>
  <c r="AA64" i="1"/>
  <c r="I65" i="1"/>
  <c r="J65" i="1"/>
  <c r="X65" i="1"/>
  <c r="Y65" i="1"/>
  <c r="AA65" i="1"/>
  <c r="I66" i="1"/>
  <c r="J66" i="1"/>
  <c r="X66" i="1"/>
  <c r="Y66" i="1"/>
  <c r="AA66" i="1"/>
  <c r="I67" i="1"/>
  <c r="J67" i="1"/>
  <c r="X67" i="1"/>
  <c r="Y67" i="1"/>
  <c r="AA67" i="1"/>
  <c r="I68" i="1"/>
  <c r="J68" i="1"/>
  <c r="X68" i="1"/>
  <c r="Y68" i="1"/>
  <c r="AA68" i="1"/>
  <c r="I69" i="1"/>
  <c r="J69" i="1"/>
  <c r="X69" i="1"/>
  <c r="Y69" i="1"/>
  <c r="AA69" i="1"/>
  <c r="I70" i="1"/>
  <c r="J70" i="1"/>
  <c r="X70" i="1"/>
  <c r="Y70" i="1"/>
  <c r="AA70" i="1"/>
  <c r="I71" i="1"/>
  <c r="J71" i="1"/>
  <c r="X71" i="1"/>
  <c r="Y71" i="1"/>
  <c r="AA71" i="1"/>
  <c r="I72" i="1"/>
  <c r="J72" i="1"/>
  <c r="X72" i="1"/>
  <c r="Y72" i="1"/>
  <c r="AA72" i="1"/>
  <c r="I73" i="1"/>
  <c r="J73" i="1"/>
  <c r="X73" i="1"/>
  <c r="Y73" i="1"/>
  <c r="AA73" i="1"/>
  <c r="I74" i="1"/>
  <c r="J74" i="1"/>
  <c r="X74" i="1"/>
  <c r="Y74" i="1"/>
  <c r="AA74" i="1"/>
  <c r="I75" i="1"/>
  <c r="J75" i="1"/>
  <c r="X75" i="1"/>
  <c r="Y75" i="1"/>
  <c r="AA75" i="1"/>
  <c r="I76" i="1"/>
  <c r="J76" i="1"/>
  <c r="X76" i="1"/>
  <c r="Y76" i="1"/>
  <c r="AA76" i="1"/>
  <c r="I77" i="1"/>
  <c r="J77" i="1"/>
  <c r="X77" i="1"/>
  <c r="Y77" i="1"/>
  <c r="AA77" i="1"/>
  <c r="I78" i="1"/>
  <c r="J78" i="1"/>
  <c r="X78" i="1"/>
  <c r="Y78" i="1"/>
  <c r="AA78" i="1"/>
  <c r="I79" i="1"/>
  <c r="J79" i="1"/>
  <c r="X79" i="1"/>
  <c r="Y79" i="1"/>
  <c r="AA79" i="1"/>
  <c r="I80" i="1"/>
  <c r="J80" i="1"/>
  <c r="X80" i="1"/>
  <c r="Y80" i="1"/>
  <c r="AA80" i="1"/>
  <c r="I81" i="1"/>
  <c r="J81" i="1"/>
  <c r="X81" i="1"/>
  <c r="Y81" i="1"/>
  <c r="AA81" i="1"/>
  <c r="I82" i="1"/>
  <c r="J82" i="1"/>
  <c r="X82" i="1"/>
  <c r="Y82" i="1"/>
  <c r="AA82" i="1"/>
  <c r="I83" i="1"/>
  <c r="J83" i="1"/>
  <c r="X83" i="1"/>
  <c r="Y83" i="1"/>
  <c r="AA83" i="1"/>
  <c r="I84" i="1"/>
  <c r="J84" i="1"/>
  <c r="X84" i="1"/>
  <c r="Y84" i="1"/>
  <c r="AA84" i="1"/>
  <c r="I85" i="1"/>
  <c r="J85" i="1"/>
  <c r="X85" i="1"/>
  <c r="Y85" i="1"/>
  <c r="AA85" i="1"/>
  <c r="I86" i="1"/>
  <c r="J86" i="1"/>
  <c r="X86" i="1"/>
  <c r="Y86" i="1"/>
  <c r="AA86" i="1"/>
  <c r="I87" i="1"/>
  <c r="J87" i="1"/>
  <c r="X87" i="1"/>
  <c r="Y87" i="1"/>
  <c r="AA87" i="1"/>
  <c r="I88" i="1"/>
  <c r="J88" i="1"/>
  <c r="X88" i="1"/>
  <c r="Y88" i="1"/>
  <c r="AA88" i="1"/>
  <c r="I89" i="1"/>
  <c r="J89" i="1"/>
  <c r="X89" i="1"/>
  <c r="Y89" i="1"/>
  <c r="AA89" i="1"/>
  <c r="I90" i="1"/>
  <c r="J90" i="1"/>
  <c r="X90" i="1"/>
  <c r="Y90" i="1"/>
  <c r="AA90" i="1"/>
  <c r="I91" i="1"/>
  <c r="J91" i="1"/>
  <c r="X91" i="1"/>
  <c r="Y91" i="1"/>
  <c r="AA91" i="1"/>
  <c r="I92" i="1"/>
  <c r="J92" i="1"/>
  <c r="X92" i="1"/>
  <c r="Y92" i="1"/>
  <c r="AA92" i="1"/>
  <c r="I93" i="1"/>
  <c r="J93" i="1"/>
  <c r="X93" i="1"/>
  <c r="Y93" i="1"/>
  <c r="AA93" i="1"/>
  <c r="I94" i="1"/>
  <c r="J94" i="1"/>
  <c r="X94" i="1"/>
  <c r="Y94" i="1"/>
  <c r="AA94" i="1"/>
  <c r="I95" i="1"/>
  <c r="J95" i="1"/>
  <c r="X95" i="1"/>
  <c r="Y95" i="1"/>
  <c r="AA95" i="1"/>
  <c r="I96" i="1"/>
  <c r="J96" i="1"/>
  <c r="X96" i="1"/>
  <c r="Y96" i="1"/>
  <c r="AA96" i="1"/>
  <c r="I97" i="1"/>
  <c r="J97" i="1"/>
  <c r="X97" i="1"/>
  <c r="Y97" i="1"/>
  <c r="AA97" i="1"/>
  <c r="I98" i="1"/>
  <c r="J98" i="1"/>
  <c r="X98" i="1"/>
  <c r="Y98" i="1"/>
  <c r="AA98" i="1"/>
  <c r="I99" i="1"/>
  <c r="J99" i="1"/>
  <c r="X99" i="1"/>
  <c r="Y99" i="1"/>
  <c r="AA99" i="1"/>
  <c r="I100" i="1"/>
  <c r="J100" i="1"/>
  <c r="X100" i="1"/>
  <c r="Y100" i="1"/>
  <c r="AA100" i="1"/>
  <c r="I101" i="1"/>
  <c r="J101" i="1"/>
  <c r="X101" i="1"/>
  <c r="Y101" i="1"/>
  <c r="AA101" i="1"/>
  <c r="I102" i="1"/>
  <c r="J102" i="1"/>
  <c r="X102" i="1"/>
  <c r="Y102" i="1"/>
  <c r="AA102" i="1"/>
  <c r="I103" i="1"/>
  <c r="J103" i="1"/>
  <c r="X103" i="1"/>
  <c r="Y103" i="1"/>
  <c r="AA103" i="1"/>
  <c r="I104" i="1"/>
  <c r="J104" i="1"/>
  <c r="X104" i="1"/>
  <c r="Y104" i="1"/>
  <c r="AA104" i="1"/>
  <c r="I105" i="1"/>
  <c r="J105" i="1"/>
  <c r="X105" i="1"/>
  <c r="Y105" i="1"/>
  <c r="AA105" i="1"/>
  <c r="I106" i="1"/>
  <c r="J106" i="1"/>
  <c r="X106" i="1"/>
  <c r="Y106" i="1"/>
  <c r="AA106" i="1"/>
  <c r="I107" i="1"/>
  <c r="J107" i="1"/>
  <c r="X107" i="1"/>
  <c r="Y107" i="1"/>
  <c r="AA107" i="1"/>
  <c r="I108" i="1"/>
  <c r="J108" i="1"/>
  <c r="X108" i="1"/>
  <c r="Y108" i="1"/>
  <c r="AA108" i="1"/>
  <c r="I109" i="1"/>
  <c r="J109" i="1"/>
  <c r="X109" i="1"/>
  <c r="Y109" i="1"/>
  <c r="AA109" i="1"/>
  <c r="I110" i="1"/>
  <c r="J110" i="1"/>
  <c r="X110" i="1"/>
  <c r="Y110" i="1"/>
  <c r="AA110" i="1"/>
  <c r="I111" i="1"/>
  <c r="J111" i="1"/>
  <c r="X111" i="1"/>
  <c r="Y111" i="1"/>
  <c r="AA111" i="1"/>
  <c r="I112" i="1"/>
  <c r="J112" i="1"/>
  <c r="X112" i="1"/>
  <c r="Y112" i="1"/>
  <c r="AA112" i="1"/>
  <c r="I113" i="1"/>
  <c r="J113" i="1"/>
  <c r="X113" i="1"/>
  <c r="Y113" i="1"/>
  <c r="AA113" i="1"/>
  <c r="I114" i="1"/>
  <c r="J114" i="1"/>
  <c r="X114" i="1"/>
  <c r="Y114" i="1"/>
  <c r="AA114" i="1"/>
  <c r="I115" i="1"/>
  <c r="J115" i="1"/>
  <c r="X115" i="1"/>
  <c r="Y115" i="1"/>
  <c r="AA115" i="1"/>
  <c r="I116" i="1"/>
  <c r="J116" i="1"/>
  <c r="X116" i="1"/>
  <c r="Y116" i="1"/>
  <c r="AA116" i="1"/>
  <c r="I117" i="1"/>
  <c r="J117" i="1"/>
  <c r="X117" i="1"/>
  <c r="Y117" i="1"/>
  <c r="AA117" i="1"/>
  <c r="I118" i="1"/>
  <c r="J118" i="1"/>
  <c r="X118" i="1"/>
  <c r="Y118" i="1"/>
  <c r="AA118" i="1"/>
  <c r="I119" i="1"/>
  <c r="J119" i="1"/>
  <c r="X119" i="1"/>
  <c r="Y119" i="1"/>
  <c r="AA119" i="1"/>
  <c r="I120" i="1"/>
  <c r="J120" i="1"/>
  <c r="X120" i="1"/>
  <c r="Y120" i="1"/>
  <c r="AA120" i="1"/>
  <c r="I121" i="1"/>
  <c r="J121" i="1"/>
  <c r="X121" i="1"/>
  <c r="Y121" i="1"/>
  <c r="AA121" i="1"/>
  <c r="I122" i="1"/>
  <c r="J122" i="1"/>
  <c r="X122" i="1"/>
  <c r="Y122" i="1"/>
  <c r="AA122" i="1"/>
  <c r="I123" i="1"/>
  <c r="J123" i="1"/>
  <c r="X123" i="1"/>
  <c r="Y123" i="1"/>
  <c r="AA123" i="1"/>
  <c r="I124" i="1"/>
  <c r="J124" i="1"/>
  <c r="X124" i="1"/>
  <c r="Y124" i="1"/>
  <c r="AA124" i="1"/>
  <c r="I125" i="1"/>
  <c r="J125" i="1"/>
  <c r="X125" i="1"/>
  <c r="Y125" i="1"/>
  <c r="AA125" i="1"/>
  <c r="I126" i="1"/>
  <c r="J126" i="1"/>
  <c r="X126" i="1"/>
  <c r="Y126" i="1"/>
  <c r="AA126" i="1"/>
  <c r="I127" i="1"/>
  <c r="J127" i="1"/>
  <c r="X127" i="1"/>
  <c r="Y127" i="1"/>
  <c r="AA127" i="1"/>
  <c r="I128" i="1"/>
  <c r="J128" i="1"/>
  <c r="X128" i="1"/>
  <c r="Y128" i="1"/>
  <c r="AA128" i="1"/>
  <c r="I129" i="1"/>
  <c r="J129" i="1"/>
  <c r="X129" i="1"/>
  <c r="Y129" i="1"/>
  <c r="AA129" i="1"/>
  <c r="I130" i="1"/>
  <c r="J130" i="1"/>
  <c r="X130" i="1"/>
  <c r="Y130" i="1"/>
  <c r="AA130" i="1"/>
  <c r="I131" i="1"/>
  <c r="J131" i="1"/>
  <c r="X131" i="1"/>
  <c r="Y131" i="1"/>
  <c r="AA131" i="1"/>
  <c r="I132" i="1"/>
  <c r="J132" i="1"/>
  <c r="X132" i="1"/>
  <c r="Y132" i="1"/>
  <c r="AA132" i="1"/>
  <c r="I133" i="1"/>
  <c r="J133" i="1"/>
  <c r="X133" i="1"/>
  <c r="Y133" i="1"/>
  <c r="AA133" i="1"/>
  <c r="I134" i="1"/>
  <c r="J134" i="1"/>
  <c r="X134" i="1"/>
  <c r="Y134" i="1"/>
  <c r="AA134" i="1"/>
  <c r="I135" i="1"/>
  <c r="J135" i="1"/>
  <c r="X135" i="1"/>
  <c r="Y135" i="1"/>
  <c r="AA135" i="1"/>
  <c r="I136" i="1"/>
  <c r="J136" i="1"/>
  <c r="X136" i="1"/>
  <c r="Y136" i="1"/>
  <c r="AA136" i="1"/>
  <c r="I137" i="1"/>
  <c r="J137" i="1"/>
  <c r="X137" i="1"/>
  <c r="Y137" i="1"/>
  <c r="AA137" i="1"/>
  <c r="I138" i="1"/>
  <c r="J138" i="1"/>
  <c r="X138" i="1"/>
  <c r="Y138" i="1"/>
  <c r="AA138" i="1"/>
  <c r="I139" i="1"/>
  <c r="J139" i="1"/>
  <c r="X139" i="1"/>
  <c r="Y139" i="1"/>
  <c r="AA139" i="1"/>
  <c r="I140" i="1"/>
  <c r="J140" i="1"/>
  <c r="X140" i="1"/>
  <c r="Y140" i="1"/>
  <c r="AA140" i="1"/>
  <c r="I141" i="1"/>
  <c r="J141" i="1"/>
  <c r="X141" i="1"/>
  <c r="Y141" i="1"/>
  <c r="AA141" i="1"/>
  <c r="I142" i="1"/>
  <c r="J142" i="1"/>
  <c r="X142" i="1"/>
  <c r="Y142" i="1"/>
  <c r="AA142" i="1"/>
  <c r="I143" i="1"/>
  <c r="J143" i="1"/>
  <c r="X143" i="1"/>
  <c r="Y143" i="1"/>
  <c r="AA143" i="1"/>
  <c r="I144" i="1"/>
  <c r="J144" i="1"/>
  <c r="X144" i="1"/>
  <c r="Y144" i="1"/>
  <c r="AA144" i="1"/>
  <c r="I145" i="1"/>
  <c r="J145" i="1"/>
  <c r="X145" i="1"/>
  <c r="Y145" i="1"/>
  <c r="AA145" i="1"/>
  <c r="I146" i="1"/>
  <c r="J146" i="1"/>
  <c r="X146" i="1"/>
  <c r="Y146" i="1"/>
  <c r="AA146" i="1"/>
  <c r="I147" i="1"/>
  <c r="J147" i="1"/>
  <c r="X147" i="1"/>
  <c r="Y147" i="1"/>
  <c r="AA147" i="1"/>
  <c r="I148" i="1"/>
  <c r="J148" i="1"/>
  <c r="X148" i="1"/>
  <c r="Y148" i="1"/>
  <c r="AA148" i="1"/>
  <c r="I149" i="1"/>
  <c r="J149" i="1"/>
  <c r="X149" i="1"/>
  <c r="Y149" i="1"/>
  <c r="AA149" i="1"/>
  <c r="I150" i="1"/>
  <c r="J150" i="1"/>
  <c r="X150" i="1"/>
  <c r="Y150" i="1"/>
  <c r="AA150" i="1"/>
  <c r="I151" i="1"/>
  <c r="J151" i="1"/>
  <c r="X151" i="1"/>
  <c r="Y151" i="1"/>
  <c r="AA151" i="1"/>
  <c r="I152" i="1"/>
  <c r="J152" i="1"/>
  <c r="X152" i="1"/>
  <c r="Y152" i="1"/>
  <c r="AA152" i="1"/>
  <c r="I153" i="1"/>
  <c r="J153" i="1"/>
  <c r="X153" i="1"/>
  <c r="Y153" i="1"/>
  <c r="AA153" i="1"/>
  <c r="I154" i="1"/>
  <c r="J154" i="1"/>
  <c r="X154" i="1"/>
  <c r="Y154" i="1"/>
  <c r="AA154" i="1"/>
  <c r="I155" i="1"/>
  <c r="J155" i="1"/>
  <c r="X155" i="1"/>
  <c r="Y155" i="1"/>
  <c r="AA155" i="1"/>
  <c r="I156" i="1"/>
  <c r="J156" i="1"/>
  <c r="X156" i="1"/>
  <c r="Y156" i="1"/>
  <c r="AA156" i="1"/>
  <c r="I157" i="1"/>
  <c r="J157" i="1"/>
  <c r="X157" i="1"/>
  <c r="Y157" i="1"/>
  <c r="AA157" i="1"/>
  <c r="I158" i="1"/>
  <c r="J158" i="1"/>
  <c r="X158" i="1"/>
  <c r="Y158" i="1"/>
  <c r="AA158" i="1"/>
  <c r="I159" i="1"/>
  <c r="J159" i="1"/>
  <c r="X159" i="1"/>
  <c r="Y159" i="1"/>
  <c r="AA159" i="1"/>
  <c r="I160" i="1"/>
  <c r="J160" i="1"/>
  <c r="X160" i="1"/>
  <c r="Y160" i="1"/>
  <c r="AA160" i="1"/>
  <c r="I161" i="1"/>
  <c r="J161" i="1"/>
  <c r="X161" i="1"/>
  <c r="Y161" i="1"/>
  <c r="AA161" i="1"/>
  <c r="B12" i="3"/>
  <c r="D8" i="26"/>
  <c r="C41" i="27" s="1"/>
  <c r="E41" i="2"/>
  <c r="E40" i="2"/>
  <c r="X13" i="28"/>
  <c r="Y13" i="28"/>
  <c r="AA13" i="28"/>
  <c r="X14" i="28"/>
  <c r="Y14" i="28"/>
  <c r="AA14" i="28"/>
  <c r="I13" i="28"/>
  <c r="J13" i="28"/>
  <c r="I14" i="28"/>
  <c r="J14" i="28"/>
  <c r="X13" i="25"/>
  <c r="Y13" i="25"/>
  <c r="AA13" i="25"/>
  <c r="X14" i="25"/>
  <c r="Y14" i="25"/>
  <c r="AA14" i="25"/>
  <c r="I13" i="25"/>
  <c r="J13" i="25"/>
  <c r="I14" i="25"/>
  <c r="J14" i="25"/>
  <c r="B13" i="3"/>
  <c r="C13" i="3"/>
  <c r="D13" i="3"/>
  <c r="X16" i="1"/>
  <c r="Y16" i="1"/>
  <c r="AA16" i="1"/>
  <c r="G90" i="2"/>
  <c r="V14" i="3" a="1"/>
  <c r="AE14" i="3" a="1"/>
  <c r="AF14" i="3" a="1"/>
  <c r="AF14" i="3" l="1"/>
  <c r="AE14" i="3"/>
  <c r="V14" i="3"/>
  <c r="Q14" i="3"/>
  <c r="AK14" i="3"/>
  <c r="AM14" i="3"/>
  <c r="X14" i="3" a="1"/>
  <c r="X14" i="3" s="1"/>
  <c r="N13" i="3"/>
  <c r="G105" i="2"/>
  <c r="U13" i="3"/>
  <c r="L9" i="23"/>
  <c r="L8" i="23"/>
  <c r="AE12" i="3" a="1"/>
  <c r="W12" i="3" a="1"/>
  <c r="AF12" i="3" a="1"/>
  <c r="AB12" i="3" a="1"/>
  <c r="AB13" i="3" a="1"/>
  <c r="AA14" i="3" l="1"/>
  <c r="Z14" i="3"/>
  <c r="Y14" i="3"/>
  <c r="E14" i="3" a="1"/>
  <c r="E14" i="3" s="1"/>
  <c r="AB13" i="3"/>
  <c r="AB12" i="3"/>
  <c r="AE12" i="3"/>
  <c r="AF12" i="3"/>
  <c r="W12" i="3"/>
  <c r="AF136" i="30" a="1"/>
  <c r="AF136" i="30" s="1"/>
  <c r="AF137" i="30" a="1"/>
  <c r="AF137" i="30" s="1"/>
  <c r="AF138" i="30" a="1"/>
  <c r="AF138" i="30" s="1"/>
  <c r="AF139" i="30" a="1"/>
  <c r="AF139" i="30" s="1"/>
  <c r="AF140" i="30" a="1"/>
  <c r="AF140" i="30" s="1"/>
  <c r="AF141" i="30" a="1"/>
  <c r="AF141" i="30" s="1"/>
  <c r="AF142" i="30" a="1"/>
  <c r="AF142" i="30" s="1"/>
  <c r="AF143" i="30" a="1"/>
  <c r="AF143" i="30" s="1"/>
  <c r="AF144" i="30" a="1"/>
  <c r="AF144" i="30" s="1"/>
  <c r="AF145" i="30" a="1"/>
  <c r="AF145" i="30" s="1"/>
  <c r="AF146" i="30" a="1"/>
  <c r="AF146" i="30" s="1"/>
  <c r="AF147" i="30" a="1"/>
  <c r="AF147" i="30" s="1"/>
  <c r="AF148" i="30" a="1"/>
  <c r="AF148" i="30" s="1"/>
  <c r="AF149" i="30" a="1"/>
  <c r="AF149" i="30" s="1"/>
  <c r="AF150" i="30" a="1"/>
  <c r="AF150" i="30" s="1"/>
  <c r="AF151" i="30" a="1"/>
  <c r="AF151" i="30" s="1"/>
  <c r="AF152" i="30" a="1"/>
  <c r="AF152" i="30" s="1"/>
  <c r="AF153" i="30" a="1"/>
  <c r="AF153" i="30" s="1"/>
  <c r="AF154" i="30" a="1"/>
  <c r="AF154" i="30" s="1"/>
  <c r="AF155" i="30" a="1"/>
  <c r="AF155" i="30" s="1"/>
  <c r="AF156" i="30" a="1"/>
  <c r="AF156" i="30" s="1"/>
  <c r="AF157" i="30" a="1"/>
  <c r="AF157" i="30" s="1"/>
  <c r="AF158" i="30" a="1"/>
  <c r="AF158" i="30" s="1"/>
  <c r="AF159" i="30" a="1"/>
  <c r="AF159" i="30" s="1"/>
  <c r="AF160" i="30" a="1"/>
  <c r="AF160" i="30" s="1"/>
  <c r="AF17" i="30" a="1"/>
  <c r="AF17" i="30" s="1"/>
  <c r="AF18" i="30" a="1"/>
  <c r="AF18" i="30" s="1"/>
  <c r="AF19" i="30" a="1"/>
  <c r="AF19" i="30" s="1"/>
  <c r="AF20" i="30" a="1"/>
  <c r="AF20" i="30" s="1"/>
  <c r="AF21" i="30" a="1"/>
  <c r="AF21" i="30" s="1"/>
  <c r="AF22" i="30" a="1"/>
  <c r="AF22" i="30" s="1"/>
  <c r="AF23" i="30" a="1"/>
  <c r="AF23" i="30" s="1"/>
  <c r="AF24" i="30" a="1"/>
  <c r="AF24" i="30" s="1"/>
  <c r="AF25" i="30" a="1"/>
  <c r="AF25" i="30" s="1"/>
  <c r="AF26" i="30" a="1"/>
  <c r="AF26" i="30" s="1"/>
  <c r="AF27" i="30" a="1"/>
  <c r="AF27" i="30" s="1"/>
  <c r="AF28" i="30" a="1"/>
  <c r="AF28" i="30" s="1"/>
  <c r="AF29" i="30" a="1"/>
  <c r="AF29" i="30" s="1"/>
  <c r="AF30" i="30" a="1"/>
  <c r="AF30" i="30" s="1"/>
  <c r="AF31" i="30" a="1"/>
  <c r="AF31" i="30" s="1"/>
  <c r="AF32" i="30" a="1"/>
  <c r="AF32" i="30" s="1"/>
  <c r="AF33" i="30" a="1"/>
  <c r="AF33" i="30" s="1"/>
  <c r="AF34" i="30" a="1"/>
  <c r="AF34" i="30" s="1"/>
  <c r="AF35" i="30" a="1"/>
  <c r="AF35" i="30" s="1"/>
  <c r="AF36" i="30" a="1"/>
  <c r="AF36" i="30" s="1"/>
  <c r="AF37" i="30" a="1"/>
  <c r="AF37" i="30" s="1"/>
  <c r="AF38" i="30" a="1"/>
  <c r="AF38" i="30" s="1"/>
  <c r="AF39" i="30" a="1"/>
  <c r="AF39" i="30" s="1"/>
  <c r="AF40" i="30" a="1"/>
  <c r="AF40" i="30" s="1"/>
  <c r="AF41" i="30" a="1"/>
  <c r="AF41" i="30" s="1"/>
  <c r="AF42" i="30" a="1"/>
  <c r="AF42" i="30" s="1"/>
  <c r="AF43" i="30" a="1"/>
  <c r="AF43" i="30" s="1"/>
  <c r="AF44" i="30" a="1"/>
  <c r="AF44" i="30" s="1"/>
  <c r="AF45" i="30" a="1"/>
  <c r="AF45" i="30" s="1"/>
  <c r="AF46" i="30" a="1"/>
  <c r="AF46" i="30" s="1"/>
  <c r="AF47" i="30" a="1"/>
  <c r="AF47" i="30" s="1"/>
  <c r="AF48" i="30" a="1"/>
  <c r="AF48" i="30" s="1"/>
  <c r="AF49" i="30" a="1"/>
  <c r="AF49" i="30" s="1"/>
  <c r="AF50" i="30" a="1"/>
  <c r="AF50" i="30" s="1"/>
  <c r="AF51" i="30" a="1"/>
  <c r="AF51" i="30" s="1"/>
  <c r="AF52" i="30" a="1"/>
  <c r="AF52" i="30" s="1"/>
  <c r="AF53" i="30" a="1"/>
  <c r="AF53" i="30" s="1"/>
  <c r="AF54" i="30" a="1"/>
  <c r="AF54" i="30" s="1"/>
  <c r="AF55" i="30" a="1"/>
  <c r="AF55" i="30" s="1"/>
  <c r="AF56" i="30" a="1"/>
  <c r="AF56" i="30" s="1"/>
  <c r="AF57" i="30" a="1"/>
  <c r="AF57" i="30" s="1"/>
  <c r="AF58" i="30" a="1"/>
  <c r="AF58" i="30" s="1"/>
  <c r="AF59" i="30" a="1"/>
  <c r="AF59" i="30" s="1"/>
  <c r="AF60" i="30" a="1"/>
  <c r="AF60" i="30" s="1"/>
  <c r="AF61" i="30" a="1"/>
  <c r="AF61" i="30" s="1"/>
  <c r="AF62" i="30" a="1"/>
  <c r="AF62" i="30" s="1"/>
  <c r="AF63" i="30" a="1"/>
  <c r="AF63" i="30" s="1"/>
  <c r="AF64" i="30" a="1"/>
  <c r="AF64" i="30" s="1"/>
  <c r="AF65" i="30" a="1"/>
  <c r="AF65" i="30" s="1"/>
  <c r="AF66" i="30" a="1"/>
  <c r="AF66" i="30" s="1"/>
  <c r="AF67" i="30" a="1"/>
  <c r="AF67" i="30" s="1"/>
  <c r="AF68" i="30" a="1"/>
  <c r="AF68" i="30" s="1"/>
  <c r="AF69" i="30" a="1"/>
  <c r="AF69" i="30" s="1"/>
  <c r="AF70" i="30" a="1"/>
  <c r="AF70" i="30" s="1"/>
  <c r="AF71" i="30" a="1"/>
  <c r="AF71" i="30" s="1"/>
  <c r="AF72" i="30" a="1"/>
  <c r="AF72" i="30" s="1"/>
  <c r="AF73" i="30" a="1"/>
  <c r="AF73" i="30" s="1"/>
  <c r="AF74" i="30" a="1"/>
  <c r="AF74" i="30" s="1"/>
  <c r="AF75" i="30" a="1"/>
  <c r="AF75" i="30" s="1"/>
  <c r="AF76" i="30" a="1"/>
  <c r="AF76" i="30" s="1"/>
  <c r="AF77" i="30" a="1"/>
  <c r="AF77" i="30" s="1"/>
  <c r="AF78" i="30" a="1"/>
  <c r="AF78" i="30" s="1"/>
  <c r="AF79" i="30" a="1"/>
  <c r="AF79" i="30" s="1"/>
  <c r="AF80" i="30" a="1"/>
  <c r="AF80" i="30" s="1"/>
  <c r="AF81" i="30" a="1"/>
  <c r="AF81" i="30" s="1"/>
  <c r="AF82" i="30" a="1"/>
  <c r="AF82" i="30" s="1"/>
  <c r="AF83" i="30" a="1"/>
  <c r="AF83" i="30" s="1"/>
  <c r="AF84" i="30" a="1"/>
  <c r="AF84" i="30" s="1"/>
  <c r="AF85" i="30" a="1"/>
  <c r="AF85" i="30" s="1"/>
  <c r="AF86" i="30" a="1"/>
  <c r="AF86" i="30" s="1"/>
  <c r="AF87" i="30" a="1"/>
  <c r="AF87" i="30" s="1"/>
  <c r="AF88" i="30" a="1"/>
  <c r="AF88" i="30" s="1"/>
  <c r="AF89" i="30" a="1"/>
  <c r="AF89" i="30" s="1"/>
  <c r="AF90" i="30" a="1"/>
  <c r="AF90" i="30" s="1"/>
  <c r="AF91" i="30" a="1"/>
  <c r="AF91" i="30" s="1"/>
  <c r="AF92" i="30" a="1"/>
  <c r="AF92" i="30" s="1"/>
  <c r="AF93" i="30" a="1"/>
  <c r="AF93" i="30" s="1"/>
  <c r="AF94" i="30" a="1"/>
  <c r="AF94" i="30" s="1"/>
  <c r="AF95" i="30" a="1"/>
  <c r="AF95" i="30" s="1"/>
  <c r="AF96" i="30" a="1"/>
  <c r="AF96" i="30" s="1"/>
  <c r="AF97" i="30" a="1"/>
  <c r="AF97" i="30" s="1"/>
  <c r="AF98" i="30" a="1"/>
  <c r="AF98" i="30" s="1"/>
  <c r="AF99" i="30" a="1"/>
  <c r="AF99" i="30" s="1"/>
  <c r="AF100" i="30" a="1"/>
  <c r="AF100" i="30" s="1"/>
  <c r="AF101" i="30" a="1"/>
  <c r="AF101" i="30" s="1"/>
  <c r="AF102" i="30" a="1"/>
  <c r="AF102" i="30" s="1"/>
  <c r="AF103" i="30" a="1"/>
  <c r="AF103" i="30" s="1"/>
  <c r="AF104" i="30" a="1"/>
  <c r="AF104" i="30" s="1"/>
  <c r="AF105" i="30" a="1"/>
  <c r="AF105" i="30" s="1"/>
  <c r="AF106" i="30" a="1"/>
  <c r="AF106" i="30" s="1"/>
  <c r="AF107" i="30" a="1"/>
  <c r="AF107" i="30" s="1"/>
  <c r="AF108" i="30" a="1"/>
  <c r="AF108" i="30" s="1"/>
  <c r="AF109" i="30" a="1"/>
  <c r="AF109" i="30" s="1"/>
  <c r="AF110" i="30" a="1"/>
  <c r="AF110" i="30" s="1"/>
  <c r="AF111" i="30" a="1"/>
  <c r="AF111" i="30" s="1"/>
  <c r="AF112" i="30" a="1"/>
  <c r="AF112" i="30" s="1"/>
  <c r="AF113" i="30" a="1"/>
  <c r="AF113" i="30" s="1"/>
  <c r="AF114" i="30" a="1"/>
  <c r="AF114" i="30" s="1"/>
  <c r="AF115" i="30" a="1"/>
  <c r="AF115" i="30" s="1"/>
  <c r="AF116" i="30" a="1"/>
  <c r="AF116" i="30" s="1"/>
  <c r="AF117" i="30" a="1"/>
  <c r="AF117" i="30" s="1"/>
  <c r="AF118" i="30" a="1"/>
  <c r="AF118" i="30" s="1"/>
  <c r="AF119" i="30" a="1"/>
  <c r="AF119" i="30" s="1"/>
  <c r="AF120" i="30" a="1"/>
  <c r="AF120" i="30" s="1"/>
  <c r="AF121" i="30" a="1"/>
  <c r="AF121" i="30" s="1"/>
  <c r="AF122" i="30" a="1"/>
  <c r="AF122" i="30" s="1"/>
  <c r="AF123" i="30" a="1"/>
  <c r="AF123" i="30" s="1"/>
  <c r="AF124" i="30" a="1"/>
  <c r="AF124" i="30" s="1"/>
  <c r="AF125" i="30" a="1"/>
  <c r="AF125" i="30" s="1"/>
  <c r="AF126" i="30" a="1"/>
  <c r="AF126" i="30" s="1"/>
  <c r="AF127" i="30" a="1"/>
  <c r="AF127" i="30" s="1"/>
  <c r="AF128" i="30" a="1"/>
  <c r="AF128" i="30" s="1"/>
  <c r="AF129" i="30" a="1"/>
  <c r="AF129" i="30" s="1"/>
  <c r="AF130" i="30" a="1"/>
  <c r="AF130" i="30" s="1"/>
  <c r="AF131" i="30" a="1"/>
  <c r="AF131" i="30" s="1"/>
  <c r="AF132" i="30" a="1"/>
  <c r="AF132" i="30" s="1"/>
  <c r="AF133" i="30" a="1"/>
  <c r="AF133" i="30" s="1"/>
  <c r="AF134" i="30" a="1"/>
  <c r="AF134" i="30" s="1"/>
  <c r="AF135" i="30" a="1"/>
  <c r="AF135" i="30" s="1"/>
  <c r="AF17" i="26" a="1"/>
  <c r="AF17" i="26" s="1"/>
  <c r="AF18" i="26" a="1"/>
  <c r="AF18" i="26" s="1"/>
  <c r="AF19" i="26" a="1"/>
  <c r="AF19" i="26" s="1"/>
  <c r="AF20" i="26" a="1"/>
  <c r="AF20" i="26" s="1"/>
  <c r="AF21" i="26" a="1"/>
  <c r="AF21" i="26" s="1"/>
  <c r="AF22" i="26" a="1"/>
  <c r="AF22" i="26" s="1"/>
  <c r="AF23" i="26" a="1"/>
  <c r="AF23" i="26" s="1"/>
  <c r="AF24" i="26" a="1"/>
  <c r="AF24" i="26" s="1"/>
  <c r="AF25" i="26" a="1"/>
  <c r="AF25" i="26" s="1"/>
  <c r="AF26" i="26" a="1"/>
  <c r="AF26" i="26" s="1"/>
  <c r="AF27" i="26" a="1"/>
  <c r="AF27" i="26" s="1"/>
  <c r="AF28" i="26" a="1"/>
  <c r="AF28" i="26" s="1"/>
  <c r="AF29" i="26" a="1"/>
  <c r="AF29" i="26" s="1"/>
  <c r="AF30" i="26" a="1"/>
  <c r="AF30" i="26" s="1"/>
  <c r="AF31" i="26" a="1"/>
  <c r="AF31" i="26" s="1"/>
  <c r="AF32" i="26" a="1"/>
  <c r="AF32" i="26" s="1"/>
  <c r="AF33" i="26" a="1"/>
  <c r="AF33" i="26" s="1"/>
  <c r="AF34" i="26" a="1"/>
  <c r="AF34" i="26" s="1"/>
  <c r="AF35" i="26" a="1"/>
  <c r="AF35" i="26" s="1"/>
  <c r="AF36" i="26" a="1"/>
  <c r="AF36" i="26" s="1"/>
  <c r="AF37" i="26" a="1"/>
  <c r="AF37" i="26" s="1"/>
  <c r="AF38" i="26" a="1"/>
  <c r="AF38" i="26" s="1"/>
  <c r="AF39" i="26" a="1"/>
  <c r="AF39" i="26" s="1"/>
  <c r="AF40" i="26" a="1"/>
  <c r="AF40" i="26" s="1"/>
  <c r="AF41" i="26" a="1"/>
  <c r="AF41" i="26" s="1"/>
  <c r="AF42" i="26" a="1"/>
  <c r="AF42" i="26" s="1"/>
  <c r="AF43" i="26" a="1"/>
  <c r="AF43" i="26" s="1"/>
  <c r="AF44" i="26" a="1"/>
  <c r="AF44" i="26" s="1"/>
  <c r="AF45" i="26" a="1"/>
  <c r="AF45" i="26" s="1"/>
  <c r="AF46" i="26" a="1"/>
  <c r="AF46" i="26" s="1"/>
  <c r="AF47" i="26" a="1"/>
  <c r="AF47" i="26" s="1"/>
  <c r="AF48" i="26" a="1"/>
  <c r="AF48" i="26" s="1"/>
  <c r="AF49" i="26" a="1"/>
  <c r="AF49" i="26" s="1"/>
  <c r="AF50" i="26" a="1"/>
  <c r="AF50" i="26" s="1"/>
  <c r="AF51" i="26" a="1"/>
  <c r="AF51" i="26" s="1"/>
  <c r="AF52" i="26" a="1"/>
  <c r="AF52" i="26" s="1"/>
  <c r="AF53" i="26" a="1"/>
  <c r="AF53" i="26" s="1"/>
  <c r="AF54" i="26" a="1"/>
  <c r="AF54" i="26" s="1"/>
  <c r="AF55" i="26" a="1"/>
  <c r="AF55" i="26" s="1"/>
  <c r="AF56" i="26" a="1"/>
  <c r="AF56" i="26" s="1"/>
  <c r="AF57" i="26" a="1"/>
  <c r="AF57" i="26" s="1"/>
  <c r="AF58" i="26" a="1"/>
  <c r="AF58" i="26" s="1"/>
  <c r="AF59" i="26" a="1"/>
  <c r="AF59" i="26" s="1"/>
  <c r="AF60" i="26" a="1"/>
  <c r="AF60" i="26" s="1"/>
  <c r="AF61" i="26" a="1"/>
  <c r="AF61" i="26" s="1"/>
  <c r="AF62" i="26" a="1"/>
  <c r="AF62" i="26" s="1"/>
  <c r="AF63" i="26" a="1"/>
  <c r="AF63" i="26" s="1"/>
  <c r="AF64" i="26" a="1"/>
  <c r="AF64" i="26" s="1"/>
  <c r="AF65" i="26" a="1"/>
  <c r="AF65" i="26" s="1"/>
  <c r="AF66" i="26" a="1"/>
  <c r="AF66" i="26" s="1"/>
  <c r="AF67" i="26" a="1"/>
  <c r="AF67" i="26" s="1"/>
  <c r="AF68" i="26" a="1"/>
  <c r="AF68" i="26" s="1"/>
  <c r="AF69" i="26" a="1"/>
  <c r="AF69" i="26" s="1"/>
  <c r="AF70" i="26" a="1"/>
  <c r="AF70" i="26" s="1"/>
  <c r="AF71" i="26" a="1"/>
  <c r="AF71" i="26" s="1"/>
  <c r="AF72" i="26" a="1"/>
  <c r="AF72" i="26" s="1"/>
  <c r="AF73" i="26" a="1"/>
  <c r="AF73" i="26" s="1"/>
  <c r="AF74" i="26" a="1"/>
  <c r="AF74" i="26" s="1"/>
  <c r="AF75" i="26" a="1"/>
  <c r="AF75" i="26" s="1"/>
  <c r="AF76" i="26" a="1"/>
  <c r="AF76" i="26" s="1"/>
  <c r="AF77" i="26" a="1"/>
  <c r="AF77" i="26" s="1"/>
  <c r="AF78" i="26" a="1"/>
  <c r="AF78" i="26" s="1"/>
  <c r="AF79" i="26" a="1"/>
  <c r="AF79" i="26" s="1"/>
  <c r="AF80" i="26" a="1"/>
  <c r="AF80" i="26" s="1"/>
  <c r="AF81" i="26" a="1"/>
  <c r="AF81" i="26" s="1"/>
  <c r="AF82" i="26" a="1"/>
  <c r="AF82" i="26" s="1"/>
  <c r="AF83" i="26" a="1"/>
  <c r="AF83" i="26" s="1"/>
  <c r="AF84" i="26" a="1"/>
  <c r="AF84" i="26" s="1"/>
  <c r="AF85" i="26" a="1"/>
  <c r="AF85" i="26" s="1"/>
  <c r="AF86" i="26" a="1"/>
  <c r="AF86" i="26" s="1"/>
  <c r="AF87" i="26" a="1"/>
  <c r="AF87" i="26" s="1"/>
  <c r="AF88" i="26" a="1"/>
  <c r="AF88" i="26" s="1"/>
  <c r="AF89" i="26" a="1"/>
  <c r="AF89" i="26" s="1"/>
  <c r="AF90" i="26" a="1"/>
  <c r="AF90" i="26" s="1"/>
  <c r="AF91" i="26" a="1"/>
  <c r="AF91" i="26" s="1"/>
  <c r="AF92" i="26" a="1"/>
  <c r="AF92" i="26" s="1"/>
  <c r="AF93" i="26" a="1"/>
  <c r="AF93" i="26" s="1"/>
  <c r="AF94" i="26" a="1"/>
  <c r="AF94" i="26" s="1"/>
  <c r="AF95" i="26" a="1"/>
  <c r="AF95" i="26" s="1"/>
  <c r="AF96" i="26" a="1"/>
  <c r="AF96" i="26" s="1"/>
  <c r="AF97" i="26" a="1"/>
  <c r="AF97" i="26" s="1"/>
  <c r="AF98" i="26" a="1"/>
  <c r="AF98" i="26" s="1"/>
  <c r="AF99" i="26" a="1"/>
  <c r="AF99" i="26" s="1"/>
  <c r="AF100" i="26" a="1"/>
  <c r="AF100" i="26" s="1"/>
  <c r="AF101" i="26" a="1"/>
  <c r="AF101" i="26" s="1"/>
  <c r="AF102" i="26" a="1"/>
  <c r="AF102" i="26" s="1"/>
  <c r="AF103" i="26" a="1"/>
  <c r="AF103" i="26" s="1"/>
  <c r="AF104" i="26" a="1"/>
  <c r="AF104" i="26" s="1"/>
  <c r="AF105" i="26" a="1"/>
  <c r="AF105" i="26" s="1"/>
  <c r="AF106" i="26" a="1"/>
  <c r="AF106" i="26" s="1"/>
  <c r="AF107" i="26" a="1"/>
  <c r="AF107" i="26" s="1"/>
  <c r="AF108" i="26" a="1"/>
  <c r="AF108" i="26" s="1"/>
  <c r="AF109" i="26" a="1"/>
  <c r="AF109" i="26" s="1"/>
  <c r="AF110" i="26" a="1"/>
  <c r="AF110" i="26" s="1"/>
  <c r="AF111" i="26" a="1"/>
  <c r="AF111" i="26" s="1"/>
  <c r="AF112" i="26" a="1"/>
  <c r="AF112" i="26" s="1"/>
  <c r="AF113" i="26" a="1"/>
  <c r="AF113" i="26" s="1"/>
  <c r="AF114" i="26" a="1"/>
  <c r="AF114" i="26" s="1"/>
  <c r="AF115" i="26" a="1"/>
  <c r="AF115" i="26" s="1"/>
  <c r="AF116" i="26" a="1"/>
  <c r="AF116" i="26" s="1"/>
  <c r="AF117" i="26" a="1"/>
  <c r="AF117" i="26" s="1"/>
  <c r="AF118" i="26" a="1"/>
  <c r="AF118" i="26" s="1"/>
  <c r="AF119" i="26" a="1"/>
  <c r="AF119" i="26" s="1"/>
  <c r="AF120" i="26" a="1"/>
  <c r="AF120" i="26" s="1"/>
  <c r="AF121" i="26" a="1"/>
  <c r="AF121" i="26" s="1"/>
  <c r="AF122" i="26" a="1"/>
  <c r="AF122" i="26" s="1"/>
  <c r="AF123" i="26" a="1"/>
  <c r="AF123" i="26" s="1"/>
  <c r="AF124" i="26" a="1"/>
  <c r="AF124" i="26" s="1"/>
  <c r="AF125" i="26" a="1"/>
  <c r="AF125" i="26" s="1"/>
  <c r="AF126" i="26" a="1"/>
  <c r="AF126" i="26" s="1"/>
  <c r="AF127" i="26" a="1"/>
  <c r="AF127" i="26" s="1"/>
  <c r="AF128" i="26" a="1"/>
  <c r="AF128" i="26" s="1"/>
  <c r="AF129" i="26" a="1"/>
  <c r="AF129" i="26" s="1"/>
  <c r="AF130" i="26" a="1"/>
  <c r="AF130" i="26" s="1"/>
  <c r="AF131" i="26" a="1"/>
  <c r="AF131" i="26" s="1"/>
  <c r="AF132" i="26" a="1"/>
  <c r="AF132" i="26" s="1"/>
  <c r="AF133" i="26" a="1"/>
  <c r="AF133" i="26" s="1"/>
  <c r="AF134" i="26" a="1"/>
  <c r="AF134" i="26" s="1"/>
  <c r="AF135" i="26" a="1"/>
  <c r="AF135" i="26" s="1"/>
  <c r="AF136" i="26" a="1"/>
  <c r="AF136" i="26" s="1"/>
  <c r="AF137" i="26" a="1"/>
  <c r="AF137" i="26" s="1"/>
  <c r="AF138" i="26" a="1"/>
  <c r="AF138" i="26" s="1"/>
  <c r="AF139" i="26" a="1"/>
  <c r="AF139" i="26" s="1"/>
  <c r="AF140" i="26" a="1"/>
  <c r="AF140" i="26" s="1"/>
  <c r="AF141" i="26" a="1"/>
  <c r="AF141" i="26" s="1"/>
  <c r="AF142" i="26" a="1"/>
  <c r="AF142" i="26" s="1"/>
  <c r="AF143" i="26" a="1"/>
  <c r="AF143" i="26" s="1"/>
  <c r="AF144" i="26" a="1"/>
  <c r="AF144" i="26" s="1"/>
  <c r="AF145" i="26" a="1"/>
  <c r="AF145" i="26" s="1"/>
  <c r="AF146" i="26" a="1"/>
  <c r="AF146" i="26" s="1"/>
  <c r="AF147" i="26" a="1"/>
  <c r="AF147" i="26" s="1"/>
  <c r="AF148" i="26" a="1"/>
  <c r="AF148" i="26" s="1"/>
  <c r="AF149" i="26" a="1"/>
  <c r="AF149" i="26" s="1"/>
  <c r="AF150" i="26" a="1"/>
  <c r="AF150" i="26" s="1"/>
  <c r="AF151" i="26" a="1"/>
  <c r="AF151" i="26" s="1"/>
  <c r="AF152" i="26" a="1"/>
  <c r="AF152" i="26" s="1"/>
  <c r="AF153" i="26" a="1"/>
  <c r="AF153" i="26" s="1"/>
  <c r="AF154" i="26" a="1"/>
  <c r="AF154" i="26" s="1"/>
  <c r="AF155" i="26" a="1"/>
  <c r="AF155" i="26" s="1"/>
  <c r="AF156" i="26" a="1"/>
  <c r="AF156" i="26" s="1"/>
  <c r="AF157" i="26" a="1"/>
  <c r="AF157" i="26" s="1"/>
  <c r="AF158" i="26" a="1"/>
  <c r="AF158" i="26" s="1"/>
  <c r="AF159" i="26" a="1"/>
  <c r="AF159" i="26" s="1"/>
  <c r="AF160" i="26" a="1"/>
  <c r="AF160" i="26" s="1"/>
  <c r="AE17" i="26" a="1"/>
  <c r="AE17" i="26" s="1"/>
  <c r="AE18" i="26" a="1"/>
  <c r="AE18" i="26" s="1"/>
  <c r="AE19" i="26" a="1"/>
  <c r="AE19" i="26" s="1"/>
  <c r="AE20" i="26" a="1"/>
  <c r="AE20" i="26" s="1"/>
  <c r="AE21" i="26" a="1"/>
  <c r="AE21" i="26" s="1"/>
  <c r="AE22" i="26" a="1"/>
  <c r="AE22" i="26" s="1"/>
  <c r="AE23" i="26" a="1"/>
  <c r="AE23" i="26" s="1"/>
  <c r="AE24" i="26" a="1"/>
  <c r="AE24" i="26" s="1"/>
  <c r="AE25" i="26" a="1"/>
  <c r="AE25" i="26" s="1"/>
  <c r="AE26" i="26" a="1"/>
  <c r="AE26" i="26" s="1"/>
  <c r="AE27" i="26" a="1"/>
  <c r="AE27" i="26" s="1"/>
  <c r="AE28" i="26" a="1"/>
  <c r="AE28" i="26" s="1"/>
  <c r="AE29" i="26" a="1"/>
  <c r="AE29" i="26" s="1"/>
  <c r="AE30" i="26" a="1"/>
  <c r="AE30" i="26" s="1"/>
  <c r="AE31" i="26" a="1"/>
  <c r="AE31" i="26" s="1"/>
  <c r="AE32" i="26" a="1"/>
  <c r="AE32" i="26" s="1"/>
  <c r="AE33" i="26" a="1"/>
  <c r="AE33" i="26" s="1"/>
  <c r="AE34" i="26" a="1"/>
  <c r="AE34" i="26" s="1"/>
  <c r="AE35" i="26" a="1"/>
  <c r="AE35" i="26" s="1"/>
  <c r="AE36" i="26" a="1"/>
  <c r="AE36" i="26" s="1"/>
  <c r="AE37" i="26" a="1"/>
  <c r="AE37" i="26" s="1"/>
  <c r="AE38" i="26" a="1"/>
  <c r="AE38" i="26" s="1"/>
  <c r="AE39" i="26" a="1"/>
  <c r="AE39" i="26" s="1"/>
  <c r="AE40" i="26" a="1"/>
  <c r="AE40" i="26" s="1"/>
  <c r="AE41" i="26" a="1"/>
  <c r="AE41" i="26" s="1"/>
  <c r="AE42" i="26" a="1"/>
  <c r="AE42" i="26" s="1"/>
  <c r="AE43" i="26" a="1"/>
  <c r="AE43" i="26" s="1"/>
  <c r="AE44" i="26" a="1"/>
  <c r="AE44" i="26" s="1"/>
  <c r="AE45" i="26" a="1"/>
  <c r="AE45" i="26" s="1"/>
  <c r="AE46" i="26" a="1"/>
  <c r="AE46" i="26" s="1"/>
  <c r="AE47" i="26" a="1"/>
  <c r="AE47" i="26" s="1"/>
  <c r="AE48" i="26" a="1"/>
  <c r="AE48" i="26" s="1"/>
  <c r="AE49" i="26" a="1"/>
  <c r="AE49" i="26" s="1"/>
  <c r="AE50" i="26" a="1"/>
  <c r="AE50" i="26" s="1"/>
  <c r="AE51" i="26" a="1"/>
  <c r="AE51" i="26" s="1"/>
  <c r="AE52" i="26" a="1"/>
  <c r="AE52" i="26" s="1"/>
  <c r="AE53" i="26" a="1"/>
  <c r="AE53" i="26" s="1"/>
  <c r="AE54" i="26" a="1"/>
  <c r="AE54" i="26" s="1"/>
  <c r="AE55" i="26" a="1"/>
  <c r="AE55" i="26" s="1"/>
  <c r="AE56" i="26" a="1"/>
  <c r="AE56" i="26" s="1"/>
  <c r="AE57" i="26" a="1"/>
  <c r="AE57" i="26" s="1"/>
  <c r="AE58" i="26" a="1"/>
  <c r="AE58" i="26" s="1"/>
  <c r="AE59" i="26" a="1"/>
  <c r="AE59" i="26" s="1"/>
  <c r="AE60" i="26" a="1"/>
  <c r="AE60" i="26" s="1"/>
  <c r="AE61" i="26" a="1"/>
  <c r="AE61" i="26" s="1"/>
  <c r="AE62" i="26" a="1"/>
  <c r="AE62" i="26" s="1"/>
  <c r="AE63" i="26" a="1"/>
  <c r="AE63" i="26" s="1"/>
  <c r="AE64" i="26" a="1"/>
  <c r="AE64" i="26" s="1"/>
  <c r="AE65" i="26" a="1"/>
  <c r="AE65" i="26" s="1"/>
  <c r="AE66" i="26" a="1"/>
  <c r="AE66" i="26" s="1"/>
  <c r="AE67" i="26" a="1"/>
  <c r="AE67" i="26" s="1"/>
  <c r="AE68" i="26" a="1"/>
  <c r="AE68" i="26" s="1"/>
  <c r="AE69" i="26" a="1"/>
  <c r="AE69" i="26" s="1"/>
  <c r="AE70" i="26" a="1"/>
  <c r="AE70" i="26" s="1"/>
  <c r="AE71" i="26" a="1"/>
  <c r="AE71" i="26" s="1"/>
  <c r="AE72" i="26" a="1"/>
  <c r="AE72" i="26" s="1"/>
  <c r="AE73" i="26" a="1"/>
  <c r="AE73" i="26" s="1"/>
  <c r="AE74" i="26" a="1"/>
  <c r="AE74" i="26" s="1"/>
  <c r="AE75" i="26" a="1"/>
  <c r="AE75" i="26" s="1"/>
  <c r="AE76" i="26" a="1"/>
  <c r="AE76" i="26" s="1"/>
  <c r="AE77" i="26" a="1"/>
  <c r="AE77" i="26" s="1"/>
  <c r="AE78" i="26" a="1"/>
  <c r="AE78" i="26" s="1"/>
  <c r="AE79" i="26" a="1"/>
  <c r="AE79" i="26" s="1"/>
  <c r="AE80" i="26" a="1"/>
  <c r="AE80" i="26" s="1"/>
  <c r="AE81" i="26" a="1"/>
  <c r="AE81" i="26" s="1"/>
  <c r="AE82" i="26" a="1"/>
  <c r="AE82" i="26" s="1"/>
  <c r="AE83" i="26" a="1"/>
  <c r="AE83" i="26" s="1"/>
  <c r="AE84" i="26" a="1"/>
  <c r="AE84" i="26" s="1"/>
  <c r="AE85" i="26" a="1"/>
  <c r="AE85" i="26" s="1"/>
  <c r="AE86" i="26" a="1"/>
  <c r="AE86" i="26" s="1"/>
  <c r="AE87" i="26" a="1"/>
  <c r="AE87" i="26" s="1"/>
  <c r="AE88" i="26" a="1"/>
  <c r="AE88" i="26" s="1"/>
  <c r="AE89" i="26" a="1"/>
  <c r="AE89" i="26" s="1"/>
  <c r="AE90" i="26" a="1"/>
  <c r="AE90" i="26" s="1"/>
  <c r="AE91" i="26" a="1"/>
  <c r="AE91" i="26" s="1"/>
  <c r="AE92" i="26" a="1"/>
  <c r="AE92" i="26" s="1"/>
  <c r="AE93" i="26" a="1"/>
  <c r="AE93" i="26" s="1"/>
  <c r="AE94" i="26" a="1"/>
  <c r="AE94" i="26" s="1"/>
  <c r="AE95" i="26" a="1"/>
  <c r="AE95" i="26" s="1"/>
  <c r="AE96" i="26" a="1"/>
  <c r="AE96" i="26" s="1"/>
  <c r="AE97" i="26" a="1"/>
  <c r="AE97" i="26" s="1"/>
  <c r="AE98" i="26" a="1"/>
  <c r="AE98" i="26" s="1"/>
  <c r="AE99" i="26" a="1"/>
  <c r="AE99" i="26" s="1"/>
  <c r="AE100" i="26" a="1"/>
  <c r="AE100" i="26" s="1"/>
  <c r="AE101" i="26" a="1"/>
  <c r="AE101" i="26" s="1"/>
  <c r="AE102" i="26" a="1"/>
  <c r="AE102" i="26" s="1"/>
  <c r="AE103" i="26" a="1"/>
  <c r="AE103" i="26" s="1"/>
  <c r="AE104" i="26" a="1"/>
  <c r="AE104" i="26" s="1"/>
  <c r="AE105" i="26" a="1"/>
  <c r="AE105" i="26" s="1"/>
  <c r="AE106" i="26" a="1"/>
  <c r="AE106" i="26" s="1"/>
  <c r="AE107" i="26" a="1"/>
  <c r="AE107" i="26" s="1"/>
  <c r="AE108" i="26" a="1"/>
  <c r="AE108" i="26" s="1"/>
  <c r="AE109" i="26" a="1"/>
  <c r="AE109" i="26" s="1"/>
  <c r="AE110" i="26" a="1"/>
  <c r="AE110" i="26" s="1"/>
  <c r="AE111" i="26" a="1"/>
  <c r="AE111" i="26" s="1"/>
  <c r="AE112" i="26" a="1"/>
  <c r="AE112" i="26" s="1"/>
  <c r="AE113" i="26" a="1"/>
  <c r="AE113" i="26" s="1"/>
  <c r="AE114" i="26" a="1"/>
  <c r="AE114" i="26" s="1"/>
  <c r="AE115" i="26" a="1"/>
  <c r="AE115" i="26" s="1"/>
  <c r="AE116" i="26" a="1"/>
  <c r="AE116" i="26" s="1"/>
  <c r="AE117" i="26" a="1"/>
  <c r="AE117" i="26" s="1"/>
  <c r="AE118" i="26" a="1"/>
  <c r="AE118" i="26" s="1"/>
  <c r="AE119" i="26" a="1"/>
  <c r="AE119" i="26" s="1"/>
  <c r="AE120" i="26" a="1"/>
  <c r="AE120" i="26" s="1"/>
  <c r="AE121" i="26" a="1"/>
  <c r="AE121" i="26" s="1"/>
  <c r="AE122" i="26" a="1"/>
  <c r="AE122" i="26" s="1"/>
  <c r="AE123" i="26" a="1"/>
  <c r="AE123" i="26" s="1"/>
  <c r="AE124" i="26" a="1"/>
  <c r="AE124" i="26" s="1"/>
  <c r="AE125" i="26" a="1"/>
  <c r="AE125" i="26" s="1"/>
  <c r="AE126" i="26" a="1"/>
  <c r="AE126" i="26" s="1"/>
  <c r="AE127" i="26" a="1"/>
  <c r="AE127" i="26" s="1"/>
  <c r="AE128" i="26" a="1"/>
  <c r="AE128" i="26" s="1"/>
  <c r="AE129" i="26" a="1"/>
  <c r="AE129" i="26" s="1"/>
  <c r="AE130" i="26" a="1"/>
  <c r="AE130" i="26" s="1"/>
  <c r="AE131" i="26" a="1"/>
  <c r="AE131" i="26" s="1"/>
  <c r="AE132" i="26" a="1"/>
  <c r="AE132" i="26" s="1"/>
  <c r="AE133" i="26" a="1"/>
  <c r="AE133" i="26" s="1"/>
  <c r="AE134" i="26" a="1"/>
  <c r="AE134" i="26" s="1"/>
  <c r="AE135" i="26" a="1"/>
  <c r="AE135" i="26" s="1"/>
  <c r="AE136" i="26" a="1"/>
  <c r="AE136" i="26" s="1"/>
  <c r="AE137" i="26" a="1"/>
  <c r="AE137" i="26" s="1"/>
  <c r="AE138" i="26" a="1"/>
  <c r="AE138" i="26" s="1"/>
  <c r="AE139" i="26" a="1"/>
  <c r="AE139" i="26" s="1"/>
  <c r="AE140" i="26" a="1"/>
  <c r="AE140" i="26" s="1"/>
  <c r="AE141" i="26" a="1"/>
  <c r="AE141" i="26" s="1"/>
  <c r="AE142" i="26" a="1"/>
  <c r="AE142" i="26" s="1"/>
  <c r="AE143" i="26" a="1"/>
  <c r="AE143" i="26" s="1"/>
  <c r="AE144" i="26" a="1"/>
  <c r="AE144" i="26" s="1"/>
  <c r="AE145" i="26" a="1"/>
  <c r="AE145" i="26" s="1"/>
  <c r="AE146" i="26" a="1"/>
  <c r="AE146" i="26" s="1"/>
  <c r="AE147" i="26" a="1"/>
  <c r="AE147" i="26" s="1"/>
  <c r="AE148" i="26" a="1"/>
  <c r="AE148" i="26" s="1"/>
  <c r="AE149" i="26" a="1"/>
  <c r="AE149" i="26" s="1"/>
  <c r="AE150" i="26" a="1"/>
  <c r="AE150" i="26" s="1"/>
  <c r="AE151" i="26" a="1"/>
  <c r="AE151" i="26" s="1"/>
  <c r="AE152" i="26" a="1"/>
  <c r="AE152" i="26" s="1"/>
  <c r="AE153" i="26" a="1"/>
  <c r="AE153" i="26" s="1"/>
  <c r="AE154" i="26" a="1"/>
  <c r="AE154" i="26" s="1"/>
  <c r="AE155" i="26" a="1"/>
  <c r="AE155" i="26" s="1"/>
  <c r="AE156" i="26" a="1"/>
  <c r="AE156" i="26" s="1"/>
  <c r="AE157" i="26" a="1"/>
  <c r="AE157" i="26" s="1"/>
  <c r="AE158" i="26" a="1"/>
  <c r="AE158" i="26" s="1"/>
  <c r="AE159" i="26" a="1"/>
  <c r="AE159" i="26" s="1"/>
  <c r="AE160" i="26" a="1"/>
  <c r="AE160" i="26" s="1"/>
  <c r="AE17" i="30" a="1"/>
  <c r="AE17" i="30" s="1"/>
  <c r="AE18" i="30" a="1"/>
  <c r="AE18" i="30" s="1"/>
  <c r="AE19" i="30" a="1"/>
  <c r="AE19" i="30" s="1"/>
  <c r="AE20" i="30" a="1"/>
  <c r="AE20" i="30" s="1"/>
  <c r="AE21" i="30" a="1"/>
  <c r="AE21" i="30" s="1"/>
  <c r="AE22" i="30" a="1"/>
  <c r="AE22" i="30" s="1"/>
  <c r="AE23" i="30" a="1"/>
  <c r="AE23" i="30" s="1"/>
  <c r="AE24" i="30" a="1"/>
  <c r="AE24" i="30" s="1"/>
  <c r="AE25" i="30" a="1"/>
  <c r="AE25" i="30" s="1"/>
  <c r="AE26" i="30" a="1"/>
  <c r="AE26" i="30" s="1"/>
  <c r="AE27" i="30" a="1"/>
  <c r="AE27" i="30" s="1"/>
  <c r="AE28" i="30" a="1"/>
  <c r="AE28" i="30" s="1"/>
  <c r="AE29" i="30" a="1"/>
  <c r="AE29" i="30" s="1"/>
  <c r="AE30" i="30" a="1"/>
  <c r="AE30" i="30" s="1"/>
  <c r="AE31" i="30" a="1"/>
  <c r="AE31" i="30" s="1"/>
  <c r="AE32" i="30" a="1"/>
  <c r="AE32" i="30" s="1"/>
  <c r="AE33" i="30" a="1"/>
  <c r="AE33" i="30" s="1"/>
  <c r="AE34" i="30" a="1"/>
  <c r="AE34" i="30" s="1"/>
  <c r="AE35" i="30" a="1"/>
  <c r="AE35" i="30" s="1"/>
  <c r="AE36" i="30" a="1"/>
  <c r="AE36" i="30" s="1"/>
  <c r="AE37" i="30" a="1"/>
  <c r="AE37" i="30" s="1"/>
  <c r="AE38" i="30" a="1"/>
  <c r="AE38" i="30" s="1"/>
  <c r="AE39" i="30" a="1"/>
  <c r="AE39" i="30" s="1"/>
  <c r="AE40" i="30" a="1"/>
  <c r="AE40" i="30" s="1"/>
  <c r="AE41" i="30" a="1"/>
  <c r="AE41" i="30" s="1"/>
  <c r="AE42" i="30" a="1"/>
  <c r="AE42" i="30" s="1"/>
  <c r="AE43" i="30" a="1"/>
  <c r="AE43" i="30" s="1"/>
  <c r="AE44" i="30" a="1"/>
  <c r="AE44" i="30" s="1"/>
  <c r="AE45" i="30" a="1"/>
  <c r="AE45" i="30" s="1"/>
  <c r="AE46" i="30" a="1"/>
  <c r="AE46" i="30" s="1"/>
  <c r="AE47" i="30" a="1"/>
  <c r="AE47" i="30" s="1"/>
  <c r="AE48" i="30" a="1"/>
  <c r="AE48" i="30" s="1"/>
  <c r="AE49" i="30" a="1"/>
  <c r="AE49" i="30" s="1"/>
  <c r="AE50" i="30" a="1"/>
  <c r="AE50" i="30" s="1"/>
  <c r="AE51" i="30" a="1"/>
  <c r="AE51" i="30" s="1"/>
  <c r="AE52" i="30" a="1"/>
  <c r="AE52" i="30" s="1"/>
  <c r="AE53" i="30" a="1"/>
  <c r="AE53" i="30" s="1"/>
  <c r="AE54" i="30" a="1"/>
  <c r="AE54" i="30" s="1"/>
  <c r="AE55" i="30" a="1"/>
  <c r="AE55" i="30" s="1"/>
  <c r="AE56" i="30" a="1"/>
  <c r="AE56" i="30" s="1"/>
  <c r="AE57" i="30" a="1"/>
  <c r="AE57" i="30" s="1"/>
  <c r="AE58" i="30" a="1"/>
  <c r="AE58" i="30" s="1"/>
  <c r="AE59" i="30" a="1"/>
  <c r="AE59" i="30" s="1"/>
  <c r="AE60" i="30" a="1"/>
  <c r="AE60" i="30" s="1"/>
  <c r="AE61" i="30" a="1"/>
  <c r="AE61" i="30" s="1"/>
  <c r="AE62" i="30" a="1"/>
  <c r="AE62" i="30" s="1"/>
  <c r="AE63" i="30" a="1"/>
  <c r="AE63" i="30" s="1"/>
  <c r="AE64" i="30" a="1"/>
  <c r="AE64" i="30" s="1"/>
  <c r="AE65" i="30" a="1"/>
  <c r="AE65" i="30" s="1"/>
  <c r="AE66" i="30" a="1"/>
  <c r="AE66" i="30" s="1"/>
  <c r="AE67" i="30" a="1"/>
  <c r="AE67" i="30" s="1"/>
  <c r="AE68" i="30" a="1"/>
  <c r="AE68" i="30" s="1"/>
  <c r="AE69" i="30" a="1"/>
  <c r="AE69" i="30" s="1"/>
  <c r="AE70" i="30" a="1"/>
  <c r="AE70" i="30" s="1"/>
  <c r="AE71" i="30" a="1"/>
  <c r="AE71" i="30" s="1"/>
  <c r="AE72" i="30" a="1"/>
  <c r="AE72" i="30" s="1"/>
  <c r="AE73" i="30" a="1"/>
  <c r="AE73" i="30" s="1"/>
  <c r="AE74" i="30" a="1"/>
  <c r="AE74" i="30" s="1"/>
  <c r="AE75" i="30" a="1"/>
  <c r="AE75" i="30" s="1"/>
  <c r="AE76" i="30" a="1"/>
  <c r="AE76" i="30" s="1"/>
  <c r="AE77" i="30" a="1"/>
  <c r="AE77" i="30" s="1"/>
  <c r="AE78" i="30" a="1"/>
  <c r="AE78" i="30" s="1"/>
  <c r="AE79" i="30" a="1"/>
  <c r="AE79" i="30" s="1"/>
  <c r="AE80" i="30" a="1"/>
  <c r="AE80" i="30" s="1"/>
  <c r="AE81" i="30" a="1"/>
  <c r="AE81" i="30" s="1"/>
  <c r="AE82" i="30" a="1"/>
  <c r="AE82" i="30" s="1"/>
  <c r="AE83" i="30" a="1"/>
  <c r="AE83" i="30" s="1"/>
  <c r="AE84" i="30" a="1"/>
  <c r="AE84" i="30" s="1"/>
  <c r="AE85" i="30" a="1"/>
  <c r="AE85" i="30" s="1"/>
  <c r="AE86" i="30" a="1"/>
  <c r="AE86" i="30" s="1"/>
  <c r="AE87" i="30" a="1"/>
  <c r="AE87" i="30" s="1"/>
  <c r="AE88" i="30" a="1"/>
  <c r="AE88" i="30" s="1"/>
  <c r="AE89" i="30" a="1"/>
  <c r="AE89" i="30" s="1"/>
  <c r="AE90" i="30" a="1"/>
  <c r="AE90" i="30" s="1"/>
  <c r="AE91" i="30" a="1"/>
  <c r="AE91" i="30" s="1"/>
  <c r="AE92" i="30" a="1"/>
  <c r="AE92" i="30" s="1"/>
  <c r="AE93" i="30" a="1"/>
  <c r="AE93" i="30" s="1"/>
  <c r="AE94" i="30" a="1"/>
  <c r="AE94" i="30" s="1"/>
  <c r="AE95" i="30" a="1"/>
  <c r="AE95" i="30" s="1"/>
  <c r="AE96" i="30" a="1"/>
  <c r="AE96" i="30" s="1"/>
  <c r="AE97" i="30" a="1"/>
  <c r="AE97" i="30" s="1"/>
  <c r="AE98" i="30" a="1"/>
  <c r="AE98" i="30" s="1"/>
  <c r="AE99" i="30" a="1"/>
  <c r="AE99" i="30" s="1"/>
  <c r="AE100" i="30" a="1"/>
  <c r="AE100" i="30" s="1"/>
  <c r="AE101" i="30" a="1"/>
  <c r="AE101" i="30" s="1"/>
  <c r="AE102" i="30" a="1"/>
  <c r="AE102" i="30" s="1"/>
  <c r="AE103" i="30" a="1"/>
  <c r="AE103" i="30" s="1"/>
  <c r="AE104" i="30" a="1"/>
  <c r="AE104" i="30" s="1"/>
  <c r="AE105" i="30" a="1"/>
  <c r="AE105" i="30" s="1"/>
  <c r="AE106" i="30" a="1"/>
  <c r="AE106" i="30" s="1"/>
  <c r="AE107" i="30" a="1"/>
  <c r="AE107" i="30" s="1"/>
  <c r="AE108" i="30" a="1"/>
  <c r="AE108" i="30" s="1"/>
  <c r="AE109" i="30" a="1"/>
  <c r="AE109" i="30" s="1"/>
  <c r="AE110" i="30" a="1"/>
  <c r="AE110" i="30" s="1"/>
  <c r="AE111" i="30" a="1"/>
  <c r="AE111" i="30" s="1"/>
  <c r="AE112" i="30" a="1"/>
  <c r="AE112" i="30" s="1"/>
  <c r="AE113" i="30" a="1"/>
  <c r="AE113" i="30" s="1"/>
  <c r="AE114" i="30" a="1"/>
  <c r="AE114" i="30" s="1"/>
  <c r="AE115" i="30" a="1"/>
  <c r="AE115" i="30" s="1"/>
  <c r="AE116" i="30" a="1"/>
  <c r="AE116" i="30" s="1"/>
  <c r="AE117" i="30" a="1"/>
  <c r="AE117" i="30" s="1"/>
  <c r="AE118" i="30" a="1"/>
  <c r="AE118" i="30" s="1"/>
  <c r="AE119" i="30" a="1"/>
  <c r="AE119" i="30" s="1"/>
  <c r="AE120" i="30" a="1"/>
  <c r="AE120" i="30" s="1"/>
  <c r="AE121" i="30" a="1"/>
  <c r="AE121" i="30" s="1"/>
  <c r="AE122" i="30" a="1"/>
  <c r="AE122" i="30" s="1"/>
  <c r="AE123" i="30" a="1"/>
  <c r="AE123" i="30" s="1"/>
  <c r="AE124" i="30" a="1"/>
  <c r="AE124" i="30" s="1"/>
  <c r="AE125" i="30" a="1"/>
  <c r="AE125" i="30" s="1"/>
  <c r="AE126" i="30" a="1"/>
  <c r="AE126" i="30" s="1"/>
  <c r="AE127" i="30" a="1"/>
  <c r="AE127" i="30" s="1"/>
  <c r="AE128" i="30" a="1"/>
  <c r="AE128" i="30" s="1"/>
  <c r="AE129" i="30" a="1"/>
  <c r="AE129" i="30" s="1"/>
  <c r="AE130" i="30" a="1"/>
  <c r="AE130" i="30" s="1"/>
  <c r="AE131" i="30" a="1"/>
  <c r="AE131" i="30" s="1"/>
  <c r="AE132" i="30" a="1"/>
  <c r="AE132" i="30" s="1"/>
  <c r="AE133" i="30" a="1"/>
  <c r="AE133" i="30" s="1"/>
  <c r="AE134" i="30" a="1"/>
  <c r="AE134" i="30" s="1"/>
  <c r="AE135" i="30" a="1"/>
  <c r="AE135" i="30" s="1"/>
  <c r="AE136" i="30" a="1"/>
  <c r="AE136" i="30" s="1"/>
  <c r="AE137" i="30" a="1"/>
  <c r="AE137" i="30" s="1"/>
  <c r="AE138" i="30" a="1"/>
  <c r="AE138" i="30" s="1"/>
  <c r="AE139" i="30" a="1"/>
  <c r="AE139" i="30" s="1"/>
  <c r="AE140" i="30" a="1"/>
  <c r="AE140" i="30" s="1"/>
  <c r="AE141" i="30" a="1"/>
  <c r="AE141" i="30" s="1"/>
  <c r="AE142" i="30" a="1"/>
  <c r="AE142" i="30" s="1"/>
  <c r="AE143" i="30" a="1"/>
  <c r="AE143" i="30" s="1"/>
  <c r="AE144" i="30" a="1"/>
  <c r="AE144" i="30" s="1"/>
  <c r="AE145" i="30" a="1"/>
  <c r="AE145" i="30" s="1"/>
  <c r="AE146" i="30" a="1"/>
  <c r="AE146" i="30" s="1"/>
  <c r="AE147" i="30" a="1"/>
  <c r="AE147" i="30" s="1"/>
  <c r="AE148" i="30" a="1"/>
  <c r="AE148" i="30" s="1"/>
  <c r="AE149" i="30" a="1"/>
  <c r="AE149" i="30" s="1"/>
  <c r="AE150" i="30" a="1"/>
  <c r="AE150" i="30" s="1"/>
  <c r="AE151" i="30" a="1"/>
  <c r="AE151" i="30" s="1"/>
  <c r="AE152" i="30" a="1"/>
  <c r="AE152" i="30" s="1"/>
  <c r="AE153" i="30" a="1"/>
  <c r="AE153" i="30" s="1"/>
  <c r="AE154" i="30" a="1"/>
  <c r="AE154" i="30" s="1"/>
  <c r="AE155" i="30" a="1"/>
  <c r="AE155" i="30" s="1"/>
  <c r="AE156" i="30" a="1"/>
  <c r="AE156" i="30" s="1"/>
  <c r="AE157" i="30" a="1"/>
  <c r="AE157" i="30" s="1"/>
  <c r="AE158" i="30" a="1"/>
  <c r="AE158" i="30" s="1"/>
  <c r="AE159" i="30" a="1"/>
  <c r="AE159" i="30" s="1"/>
  <c r="AE160" i="30" a="1"/>
  <c r="AE160" i="30" s="1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34" i="30"/>
  <c r="AD35" i="30"/>
  <c r="AD36" i="30"/>
  <c r="AD37" i="30"/>
  <c r="AD38" i="30"/>
  <c r="AD39" i="30"/>
  <c r="AD40" i="30"/>
  <c r="AD41" i="30"/>
  <c r="AD42" i="30"/>
  <c r="AD43" i="30"/>
  <c r="AD44" i="30"/>
  <c r="AD45" i="30"/>
  <c r="AD46" i="30"/>
  <c r="AD47" i="30"/>
  <c r="AD48" i="30"/>
  <c r="AD49" i="30"/>
  <c r="AD50" i="30"/>
  <c r="AD51" i="30"/>
  <c r="AD52" i="30"/>
  <c r="AD53" i="30"/>
  <c r="AD54" i="30"/>
  <c r="AD55" i="30"/>
  <c r="AD56" i="30"/>
  <c r="AD57" i="30"/>
  <c r="AD58" i="30"/>
  <c r="AD59" i="30"/>
  <c r="AD60" i="30"/>
  <c r="AD61" i="30"/>
  <c r="AD62" i="30"/>
  <c r="AD63" i="30"/>
  <c r="AD64" i="30"/>
  <c r="AD65" i="30"/>
  <c r="AD66" i="30"/>
  <c r="AD67" i="30"/>
  <c r="AD68" i="30"/>
  <c r="AD69" i="30"/>
  <c r="AD70" i="30"/>
  <c r="AD71" i="30"/>
  <c r="AD72" i="30"/>
  <c r="AD73" i="30"/>
  <c r="AD74" i="30"/>
  <c r="AD75" i="30"/>
  <c r="AD76" i="30"/>
  <c r="AD77" i="30"/>
  <c r="AD78" i="30"/>
  <c r="AD79" i="30"/>
  <c r="AD80" i="30"/>
  <c r="AD81" i="30"/>
  <c r="AD82" i="30"/>
  <c r="AD83" i="30"/>
  <c r="AD84" i="30"/>
  <c r="AD85" i="30"/>
  <c r="AD86" i="30"/>
  <c r="AD87" i="30"/>
  <c r="AD88" i="30"/>
  <c r="AD89" i="30"/>
  <c r="AD90" i="30"/>
  <c r="AD91" i="30"/>
  <c r="AD92" i="30"/>
  <c r="AD93" i="30"/>
  <c r="AD94" i="30"/>
  <c r="AD95" i="30"/>
  <c r="AD96" i="30"/>
  <c r="AD97" i="30"/>
  <c r="AD98" i="30"/>
  <c r="AD99" i="30"/>
  <c r="AD100" i="30"/>
  <c r="AD101" i="30"/>
  <c r="AD102" i="30"/>
  <c r="AD103" i="30"/>
  <c r="AD104" i="30"/>
  <c r="AD105" i="30"/>
  <c r="AD106" i="30"/>
  <c r="AD107" i="30"/>
  <c r="AD108" i="30"/>
  <c r="AD109" i="30"/>
  <c r="AD110" i="30"/>
  <c r="AD111" i="30"/>
  <c r="AD112" i="30"/>
  <c r="AD113" i="30"/>
  <c r="AD114" i="30"/>
  <c r="AD115" i="30"/>
  <c r="AD116" i="30"/>
  <c r="AD117" i="30"/>
  <c r="AD118" i="30"/>
  <c r="AD119" i="30"/>
  <c r="AD120" i="30"/>
  <c r="AD121" i="30"/>
  <c r="AD122" i="30"/>
  <c r="AD123" i="30"/>
  <c r="AD124" i="30"/>
  <c r="AD125" i="30"/>
  <c r="AD126" i="30"/>
  <c r="AD127" i="30"/>
  <c r="AD128" i="30"/>
  <c r="AD129" i="30"/>
  <c r="AD130" i="30"/>
  <c r="AD131" i="30"/>
  <c r="AD132" i="30"/>
  <c r="AD133" i="30"/>
  <c r="AD134" i="30"/>
  <c r="AD135" i="30"/>
  <c r="AD136" i="30"/>
  <c r="AD137" i="30"/>
  <c r="AD138" i="30"/>
  <c r="AD139" i="30"/>
  <c r="AD140" i="30"/>
  <c r="AD141" i="30"/>
  <c r="AD142" i="30"/>
  <c r="AD143" i="30"/>
  <c r="AD144" i="30"/>
  <c r="AD145" i="30"/>
  <c r="AD146" i="30"/>
  <c r="AD147" i="30"/>
  <c r="AD148" i="30"/>
  <c r="AD149" i="30"/>
  <c r="AD150" i="30"/>
  <c r="AD151" i="30"/>
  <c r="AD152" i="30"/>
  <c r="AD153" i="30"/>
  <c r="AD154" i="30"/>
  <c r="AD155" i="30"/>
  <c r="AD156" i="30"/>
  <c r="AD157" i="30"/>
  <c r="AD158" i="30"/>
  <c r="AD159" i="30"/>
  <c r="AD160" i="30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5" i="26"/>
  <c r="AD96" i="26"/>
  <c r="AD97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0" i="26"/>
  <c r="AD121" i="26"/>
  <c r="AD122" i="26"/>
  <c r="AD123" i="26"/>
  <c r="AD124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C17" i="30"/>
  <c r="AC18" i="30"/>
  <c r="AC19" i="30"/>
  <c r="AC20" i="30"/>
  <c r="AC21" i="30"/>
  <c r="AC22" i="30"/>
  <c r="AC23" i="30"/>
  <c r="AC24" i="30"/>
  <c r="AC25" i="30"/>
  <c r="AC26" i="30"/>
  <c r="AC27" i="30"/>
  <c r="AC28" i="30"/>
  <c r="AC29" i="30"/>
  <c r="AC30" i="30"/>
  <c r="AC31" i="30"/>
  <c r="AC32" i="30"/>
  <c r="AC33" i="30"/>
  <c r="AC34" i="30"/>
  <c r="AC35" i="30"/>
  <c r="AC36" i="30"/>
  <c r="AC37" i="30"/>
  <c r="AC38" i="30"/>
  <c r="AC39" i="30"/>
  <c r="AC40" i="30"/>
  <c r="AC41" i="30"/>
  <c r="AC42" i="30"/>
  <c r="AC43" i="30"/>
  <c r="AC44" i="30"/>
  <c r="AC45" i="30"/>
  <c r="AC46" i="30"/>
  <c r="AC47" i="30"/>
  <c r="AC48" i="30"/>
  <c r="AC49" i="30"/>
  <c r="AC50" i="30"/>
  <c r="AC51" i="30"/>
  <c r="AC52" i="30"/>
  <c r="AC53" i="30"/>
  <c r="AC54" i="30"/>
  <c r="AC55" i="30"/>
  <c r="AC56" i="30"/>
  <c r="AC57" i="30"/>
  <c r="AC58" i="30"/>
  <c r="AC59" i="30"/>
  <c r="AC60" i="30"/>
  <c r="AC61" i="30"/>
  <c r="AC62" i="30"/>
  <c r="AC63" i="30"/>
  <c r="AC64" i="30"/>
  <c r="AC65" i="30"/>
  <c r="AC66" i="30"/>
  <c r="AC67" i="30"/>
  <c r="AC68" i="30"/>
  <c r="AC69" i="30"/>
  <c r="AC70" i="30"/>
  <c r="AC71" i="30"/>
  <c r="AC72" i="30"/>
  <c r="AC73" i="30"/>
  <c r="AC74" i="30"/>
  <c r="AC75" i="30"/>
  <c r="AC76" i="30"/>
  <c r="AC77" i="30"/>
  <c r="AC78" i="30"/>
  <c r="AC79" i="30"/>
  <c r="AC80" i="30"/>
  <c r="AC81" i="30"/>
  <c r="AC82" i="30"/>
  <c r="AC83" i="30"/>
  <c r="AC84" i="30"/>
  <c r="AC85" i="30"/>
  <c r="AC86" i="30"/>
  <c r="AC87" i="30"/>
  <c r="AC88" i="30"/>
  <c r="AC89" i="30"/>
  <c r="AC90" i="30"/>
  <c r="AC91" i="30"/>
  <c r="AC92" i="30"/>
  <c r="AC93" i="30"/>
  <c r="AC94" i="30"/>
  <c r="AC95" i="30"/>
  <c r="AC96" i="30"/>
  <c r="AC97" i="30"/>
  <c r="AC98" i="30"/>
  <c r="AC99" i="30"/>
  <c r="AC100" i="30"/>
  <c r="AC101" i="30"/>
  <c r="AC102" i="30"/>
  <c r="AC103" i="30"/>
  <c r="AC104" i="30"/>
  <c r="AC105" i="30"/>
  <c r="AC106" i="30"/>
  <c r="AC107" i="30"/>
  <c r="AC108" i="30"/>
  <c r="AC109" i="30"/>
  <c r="AC110" i="30"/>
  <c r="AC111" i="30"/>
  <c r="AC112" i="30"/>
  <c r="AC113" i="30"/>
  <c r="AC114" i="30"/>
  <c r="AC115" i="30"/>
  <c r="AC116" i="30"/>
  <c r="AC117" i="30"/>
  <c r="AC118" i="30"/>
  <c r="AC119" i="30"/>
  <c r="AC120" i="30"/>
  <c r="AC121" i="30"/>
  <c r="AC122" i="30"/>
  <c r="AC123" i="30"/>
  <c r="AC124" i="30"/>
  <c r="AC125" i="30"/>
  <c r="AC126" i="30"/>
  <c r="AC127" i="30"/>
  <c r="AC128" i="30"/>
  <c r="AC129" i="30"/>
  <c r="AC130" i="30"/>
  <c r="AC131" i="30"/>
  <c r="AC132" i="30"/>
  <c r="AC133" i="30"/>
  <c r="AC134" i="30"/>
  <c r="AC135" i="30"/>
  <c r="AC136" i="30"/>
  <c r="AC137" i="30"/>
  <c r="AC138" i="30"/>
  <c r="AC139" i="30"/>
  <c r="AC140" i="30"/>
  <c r="AC141" i="30"/>
  <c r="AC142" i="30"/>
  <c r="AC143" i="30"/>
  <c r="AC144" i="30"/>
  <c r="AC145" i="30"/>
  <c r="AC146" i="30"/>
  <c r="AC147" i="30"/>
  <c r="AC148" i="30"/>
  <c r="AC149" i="30"/>
  <c r="AC150" i="30"/>
  <c r="AC151" i="30"/>
  <c r="AC152" i="30"/>
  <c r="AC153" i="30"/>
  <c r="AC154" i="30"/>
  <c r="AC155" i="30"/>
  <c r="AC156" i="30"/>
  <c r="AC157" i="30"/>
  <c r="AC158" i="30"/>
  <c r="AC159" i="30"/>
  <c r="AC160" i="30"/>
  <c r="AC17" i="26"/>
  <c r="AC18" i="26"/>
  <c r="AC19" i="26"/>
  <c r="AC20" i="26"/>
  <c r="AC21" i="26"/>
  <c r="AC22" i="26"/>
  <c r="AC23" i="26"/>
  <c r="AC24" i="26"/>
  <c r="AC25" i="26"/>
  <c r="AC26" i="26"/>
  <c r="AC27" i="26"/>
  <c r="AC28" i="26"/>
  <c r="AC29" i="26"/>
  <c r="AC30" i="26"/>
  <c r="AC31" i="26"/>
  <c r="AC32" i="26"/>
  <c r="AC33" i="26"/>
  <c r="AC34" i="26"/>
  <c r="AC35" i="26"/>
  <c r="AC36" i="26"/>
  <c r="AC37" i="26"/>
  <c r="AC38" i="26"/>
  <c r="AC39" i="26"/>
  <c r="AC40" i="26"/>
  <c r="AC41" i="26"/>
  <c r="AC42" i="26"/>
  <c r="AC43" i="26"/>
  <c r="AC44" i="26"/>
  <c r="AC45" i="26"/>
  <c r="AC46" i="26"/>
  <c r="AC47" i="26"/>
  <c r="AC48" i="26"/>
  <c r="AC49" i="26"/>
  <c r="AC50" i="26"/>
  <c r="AC51" i="26"/>
  <c r="AC52" i="26"/>
  <c r="AC53" i="26"/>
  <c r="AC54" i="26"/>
  <c r="AC55" i="26"/>
  <c r="AC56" i="26"/>
  <c r="AC57" i="26"/>
  <c r="AC58" i="26"/>
  <c r="AC59" i="26"/>
  <c r="AC60" i="26"/>
  <c r="AC61" i="26"/>
  <c r="AC62" i="26"/>
  <c r="AC63" i="26"/>
  <c r="AC64" i="26"/>
  <c r="AC65" i="26"/>
  <c r="AC66" i="26"/>
  <c r="AC67" i="26"/>
  <c r="AC68" i="26"/>
  <c r="AC69" i="26"/>
  <c r="AC70" i="26"/>
  <c r="AC71" i="26"/>
  <c r="AC72" i="26"/>
  <c r="AC73" i="26"/>
  <c r="AC74" i="26"/>
  <c r="AC75" i="26"/>
  <c r="AC76" i="26"/>
  <c r="AC77" i="26"/>
  <c r="AC78" i="26"/>
  <c r="AC79" i="26"/>
  <c r="AC80" i="26"/>
  <c r="AC81" i="26"/>
  <c r="AC82" i="26"/>
  <c r="AC83" i="26"/>
  <c r="AC84" i="26"/>
  <c r="AC85" i="26"/>
  <c r="AC86" i="26"/>
  <c r="AC87" i="26"/>
  <c r="AC88" i="26"/>
  <c r="AC89" i="26"/>
  <c r="AC90" i="26"/>
  <c r="AC91" i="26"/>
  <c r="AC92" i="26"/>
  <c r="AC93" i="26"/>
  <c r="AC94" i="26"/>
  <c r="AC95" i="26"/>
  <c r="AC96" i="26"/>
  <c r="AC97" i="26"/>
  <c r="AC98" i="26"/>
  <c r="AC99" i="26"/>
  <c r="AC100" i="26"/>
  <c r="AC101" i="26"/>
  <c r="AC102" i="26"/>
  <c r="AC103" i="26"/>
  <c r="AC104" i="26"/>
  <c r="AC105" i="26"/>
  <c r="AC106" i="26"/>
  <c r="AC107" i="26"/>
  <c r="AC108" i="26"/>
  <c r="AC109" i="26"/>
  <c r="AC110" i="26"/>
  <c r="AC111" i="26"/>
  <c r="AC112" i="26"/>
  <c r="AC113" i="26"/>
  <c r="AC114" i="26"/>
  <c r="AC115" i="26"/>
  <c r="AC116" i="26"/>
  <c r="AC117" i="26"/>
  <c r="AC118" i="26"/>
  <c r="AC119" i="26"/>
  <c r="AC120" i="26"/>
  <c r="AC121" i="26"/>
  <c r="AC122" i="26"/>
  <c r="AC123" i="26"/>
  <c r="AC124" i="26"/>
  <c r="AC125" i="26"/>
  <c r="AC126" i="26"/>
  <c r="AC127" i="26"/>
  <c r="AC128" i="26"/>
  <c r="AC129" i="26"/>
  <c r="AC130" i="26"/>
  <c r="AC131" i="26"/>
  <c r="AC132" i="26"/>
  <c r="AC133" i="26"/>
  <c r="AC134" i="26"/>
  <c r="AC135" i="26"/>
  <c r="AC136" i="26"/>
  <c r="AC137" i="26"/>
  <c r="AC138" i="26"/>
  <c r="AC139" i="26"/>
  <c r="AC140" i="26"/>
  <c r="AC141" i="26"/>
  <c r="AC142" i="26"/>
  <c r="AC143" i="26"/>
  <c r="AC144" i="26"/>
  <c r="AC145" i="26"/>
  <c r="AC146" i="26"/>
  <c r="AC147" i="26"/>
  <c r="AC148" i="26"/>
  <c r="AC149" i="26"/>
  <c r="AC150" i="26"/>
  <c r="AC151" i="26"/>
  <c r="AC152" i="26"/>
  <c r="AC153" i="26"/>
  <c r="AC154" i="26"/>
  <c r="AC155" i="26"/>
  <c r="AC156" i="26"/>
  <c r="AC157" i="26"/>
  <c r="AC158" i="26"/>
  <c r="AC159" i="26"/>
  <c r="AC160" i="26"/>
  <c r="AG17" i="30"/>
  <c r="AH17" i="30"/>
  <c r="AI17" i="30"/>
  <c r="AG18" i="30"/>
  <c r="AH18" i="30"/>
  <c r="AI18" i="30"/>
  <c r="AG19" i="30"/>
  <c r="AH19" i="30"/>
  <c r="AI19" i="30"/>
  <c r="AG20" i="30"/>
  <c r="AH20" i="30"/>
  <c r="AI20" i="30"/>
  <c r="AG21" i="30"/>
  <c r="AH21" i="30"/>
  <c r="AI21" i="30"/>
  <c r="AG22" i="30"/>
  <c r="AH22" i="30"/>
  <c r="AI22" i="30"/>
  <c r="AG23" i="30"/>
  <c r="AH23" i="30"/>
  <c r="AI23" i="30"/>
  <c r="AG24" i="30"/>
  <c r="AH24" i="30"/>
  <c r="AI24" i="30"/>
  <c r="AG25" i="30"/>
  <c r="AH25" i="30"/>
  <c r="AI25" i="30"/>
  <c r="AG26" i="30"/>
  <c r="AH26" i="30"/>
  <c r="AI26" i="30"/>
  <c r="AG27" i="30"/>
  <c r="AH27" i="30"/>
  <c r="AI27" i="30"/>
  <c r="AG28" i="30"/>
  <c r="AH28" i="30"/>
  <c r="AI28" i="30"/>
  <c r="AG29" i="30"/>
  <c r="AH29" i="30"/>
  <c r="AI29" i="30"/>
  <c r="AG30" i="30"/>
  <c r="AH30" i="30"/>
  <c r="AI30" i="30"/>
  <c r="AG31" i="30"/>
  <c r="AH31" i="30"/>
  <c r="AI31" i="30"/>
  <c r="AG32" i="30"/>
  <c r="AH32" i="30"/>
  <c r="AI32" i="30"/>
  <c r="AG33" i="30"/>
  <c r="AH33" i="30"/>
  <c r="AI33" i="30"/>
  <c r="AG34" i="30"/>
  <c r="AH34" i="30"/>
  <c r="AI34" i="30"/>
  <c r="AG35" i="30"/>
  <c r="AH35" i="30"/>
  <c r="AI35" i="30"/>
  <c r="AG36" i="30"/>
  <c r="AH36" i="30"/>
  <c r="AI36" i="30"/>
  <c r="AG37" i="30"/>
  <c r="AH37" i="30"/>
  <c r="AI37" i="30"/>
  <c r="AG38" i="30"/>
  <c r="AH38" i="30"/>
  <c r="AI38" i="30"/>
  <c r="AG39" i="30"/>
  <c r="AH39" i="30"/>
  <c r="AI39" i="30"/>
  <c r="AG40" i="30"/>
  <c r="AH40" i="30"/>
  <c r="AI40" i="30"/>
  <c r="AG41" i="30"/>
  <c r="AH41" i="30"/>
  <c r="AI41" i="30"/>
  <c r="AG42" i="30"/>
  <c r="AH42" i="30"/>
  <c r="AI42" i="30"/>
  <c r="AG43" i="30"/>
  <c r="AH43" i="30"/>
  <c r="AI43" i="30"/>
  <c r="AG44" i="30"/>
  <c r="AH44" i="30"/>
  <c r="AI44" i="30"/>
  <c r="AG45" i="30"/>
  <c r="AH45" i="30"/>
  <c r="AI45" i="30"/>
  <c r="AG46" i="30"/>
  <c r="AH46" i="30"/>
  <c r="AI46" i="30"/>
  <c r="AG47" i="30"/>
  <c r="AH47" i="30"/>
  <c r="AI47" i="30"/>
  <c r="AG48" i="30"/>
  <c r="AH48" i="30"/>
  <c r="AI48" i="30"/>
  <c r="AG49" i="30"/>
  <c r="AH49" i="30"/>
  <c r="AI49" i="30"/>
  <c r="AG50" i="30"/>
  <c r="AH50" i="30"/>
  <c r="AI50" i="30"/>
  <c r="AG51" i="30"/>
  <c r="AH51" i="30"/>
  <c r="AI51" i="30"/>
  <c r="AG52" i="30"/>
  <c r="AH52" i="30"/>
  <c r="AI52" i="30"/>
  <c r="AG53" i="30"/>
  <c r="AH53" i="30"/>
  <c r="AI53" i="30"/>
  <c r="AG54" i="30"/>
  <c r="AH54" i="30"/>
  <c r="AI54" i="30"/>
  <c r="AG55" i="30"/>
  <c r="AH55" i="30"/>
  <c r="AI55" i="30"/>
  <c r="AG56" i="30"/>
  <c r="AH56" i="30"/>
  <c r="AI56" i="30"/>
  <c r="AG57" i="30"/>
  <c r="AH57" i="30"/>
  <c r="AI57" i="30"/>
  <c r="AG58" i="30"/>
  <c r="AH58" i="30"/>
  <c r="AI58" i="30"/>
  <c r="AG59" i="30"/>
  <c r="AH59" i="30"/>
  <c r="AI59" i="30"/>
  <c r="AG60" i="30"/>
  <c r="AH60" i="30"/>
  <c r="AI60" i="30"/>
  <c r="AG61" i="30"/>
  <c r="AH61" i="30"/>
  <c r="AI61" i="30"/>
  <c r="AG62" i="30"/>
  <c r="AH62" i="30"/>
  <c r="AI62" i="30"/>
  <c r="AG63" i="30"/>
  <c r="AH63" i="30"/>
  <c r="AI63" i="30"/>
  <c r="AG64" i="30"/>
  <c r="AH64" i="30"/>
  <c r="AI64" i="30"/>
  <c r="AG65" i="30"/>
  <c r="AH65" i="30"/>
  <c r="AI65" i="30"/>
  <c r="AG66" i="30"/>
  <c r="AH66" i="30"/>
  <c r="AI66" i="30"/>
  <c r="AG67" i="30"/>
  <c r="AH67" i="30"/>
  <c r="AI67" i="30"/>
  <c r="AG68" i="30"/>
  <c r="AH68" i="30"/>
  <c r="AI68" i="30"/>
  <c r="AG69" i="30"/>
  <c r="AH69" i="30"/>
  <c r="AI69" i="30"/>
  <c r="AG70" i="30"/>
  <c r="AH70" i="30"/>
  <c r="AI70" i="30"/>
  <c r="AG71" i="30"/>
  <c r="AH71" i="30"/>
  <c r="AI71" i="30"/>
  <c r="AG72" i="30"/>
  <c r="AH72" i="30"/>
  <c r="AI72" i="30"/>
  <c r="AG73" i="30"/>
  <c r="AH73" i="30"/>
  <c r="AI73" i="30"/>
  <c r="AG74" i="30"/>
  <c r="AH74" i="30"/>
  <c r="AI74" i="30"/>
  <c r="AG75" i="30"/>
  <c r="AH75" i="30"/>
  <c r="AI75" i="30"/>
  <c r="AG76" i="30"/>
  <c r="AH76" i="30"/>
  <c r="AI76" i="30"/>
  <c r="AG77" i="30"/>
  <c r="AH77" i="30"/>
  <c r="AI77" i="30"/>
  <c r="AG78" i="30"/>
  <c r="AH78" i="30"/>
  <c r="AI78" i="30"/>
  <c r="AG79" i="30"/>
  <c r="AH79" i="30"/>
  <c r="AI79" i="30"/>
  <c r="AG80" i="30"/>
  <c r="AH80" i="30"/>
  <c r="AI80" i="30"/>
  <c r="AG81" i="30"/>
  <c r="AH81" i="30"/>
  <c r="AI81" i="30"/>
  <c r="AG82" i="30"/>
  <c r="AH82" i="30"/>
  <c r="AI82" i="30"/>
  <c r="AG83" i="30"/>
  <c r="AH83" i="30"/>
  <c r="AI83" i="30"/>
  <c r="AG84" i="30"/>
  <c r="AH84" i="30"/>
  <c r="AI84" i="30"/>
  <c r="AG85" i="30"/>
  <c r="AH85" i="30"/>
  <c r="AI85" i="30"/>
  <c r="AG86" i="30"/>
  <c r="AH86" i="30"/>
  <c r="AI86" i="30"/>
  <c r="AG87" i="30"/>
  <c r="AH87" i="30"/>
  <c r="AI87" i="30"/>
  <c r="AG88" i="30"/>
  <c r="AH88" i="30"/>
  <c r="AI88" i="30"/>
  <c r="AG89" i="30"/>
  <c r="AH89" i="30"/>
  <c r="AI89" i="30"/>
  <c r="AG90" i="30"/>
  <c r="AH90" i="30"/>
  <c r="AI90" i="30"/>
  <c r="AG91" i="30"/>
  <c r="AH91" i="30"/>
  <c r="AI91" i="30"/>
  <c r="AG92" i="30"/>
  <c r="AH92" i="30"/>
  <c r="AI92" i="30"/>
  <c r="AG93" i="30"/>
  <c r="AH93" i="30"/>
  <c r="AI93" i="30"/>
  <c r="AG94" i="30"/>
  <c r="AH94" i="30"/>
  <c r="AI94" i="30"/>
  <c r="AG95" i="30"/>
  <c r="AH95" i="30"/>
  <c r="AI95" i="30"/>
  <c r="AG96" i="30"/>
  <c r="AH96" i="30"/>
  <c r="AI96" i="30"/>
  <c r="AG97" i="30"/>
  <c r="AH97" i="30"/>
  <c r="AI97" i="30"/>
  <c r="AG98" i="30"/>
  <c r="AH98" i="30"/>
  <c r="AI98" i="30"/>
  <c r="AG99" i="30"/>
  <c r="AH99" i="30"/>
  <c r="AI99" i="30"/>
  <c r="AG100" i="30"/>
  <c r="AH100" i="30"/>
  <c r="AI100" i="30"/>
  <c r="AG101" i="30"/>
  <c r="AH101" i="30"/>
  <c r="AI101" i="30"/>
  <c r="AG102" i="30"/>
  <c r="AH102" i="30"/>
  <c r="AI102" i="30"/>
  <c r="AG103" i="30"/>
  <c r="AH103" i="30"/>
  <c r="AI103" i="30"/>
  <c r="AG104" i="30"/>
  <c r="AH104" i="30"/>
  <c r="AI104" i="30"/>
  <c r="AG105" i="30"/>
  <c r="AH105" i="30"/>
  <c r="AI105" i="30"/>
  <c r="AG106" i="30"/>
  <c r="AH106" i="30"/>
  <c r="AI106" i="30"/>
  <c r="AG107" i="30"/>
  <c r="AH107" i="30"/>
  <c r="AI107" i="30"/>
  <c r="AG108" i="30"/>
  <c r="AH108" i="30"/>
  <c r="AI108" i="30"/>
  <c r="AG109" i="30"/>
  <c r="AH109" i="30"/>
  <c r="AI109" i="30"/>
  <c r="AG110" i="30"/>
  <c r="AH110" i="30"/>
  <c r="AI110" i="30"/>
  <c r="AG111" i="30"/>
  <c r="AH111" i="30"/>
  <c r="AI111" i="30"/>
  <c r="AG112" i="30"/>
  <c r="AH112" i="30"/>
  <c r="AI112" i="30"/>
  <c r="AG113" i="30"/>
  <c r="AH113" i="30"/>
  <c r="AI113" i="30"/>
  <c r="AG114" i="30"/>
  <c r="AH114" i="30"/>
  <c r="AI114" i="30"/>
  <c r="AG115" i="30"/>
  <c r="AH115" i="30"/>
  <c r="AI115" i="30"/>
  <c r="AG116" i="30"/>
  <c r="AH116" i="30"/>
  <c r="AI116" i="30"/>
  <c r="AG117" i="30"/>
  <c r="AH117" i="30"/>
  <c r="AI117" i="30"/>
  <c r="AG118" i="30"/>
  <c r="AH118" i="30"/>
  <c r="AI118" i="30"/>
  <c r="AG119" i="30"/>
  <c r="AH119" i="30"/>
  <c r="AI119" i="30"/>
  <c r="AG120" i="30"/>
  <c r="AH120" i="30"/>
  <c r="AI120" i="30"/>
  <c r="AG121" i="30"/>
  <c r="AH121" i="30"/>
  <c r="AI121" i="30"/>
  <c r="AG122" i="30"/>
  <c r="AH122" i="30"/>
  <c r="AI122" i="30"/>
  <c r="AG123" i="30"/>
  <c r="AH123" i="30"/>
  <c r="AI123" i="30"/>
  <c r="AG124" i="30"/>
  <c r="AH124" i="30"/>
  <c r="AI124" i="30"/>
  <c r="AG125" i="30"/>
  <c r="AH125" i="30"/>
  <c r="AI125" i="30"/>
  <c r="AG126" i="30"/>
  <c r="AH126" i="30"/>
  <c r="AI126" i="30"/>
  <c r="AG127" i="30"/>
  <c r="AH127" i="30"/>
  <c r="AI127" i="30"/>
  <c r="AG128" i="30"/>
  <c r="AH128" i="30"/>
  <c r="AI128" i="30"/>
  <c r="AG129" i="30"/>
  <c r="AH129" i="30"/>
  <c r="AI129" i="30"/>
  <c r="AG130" i="30"/>
  <c r="AH130" i="30"/>
  <c r="AI130" i="30"/>
  <c r="AG131" i="30"/>
  <c r="AH131" i="30"/>
  <c r="AI131" i="30"/>
  <c r="AG132" i="30"/>
  <c r="AH132" i="30"/>
  <c r="AI132" i="30"/>
  <c r="AG133" i="30"/>
  <c r="AH133" i="30"/>
  <c r="AI133" i="30"/>
  <c r="AG134" i="30"/>
  <c r="AH134" i="30"/>
  <c r="AI134" i="30"/>
  <c r="AG135" i="30"/>
  <c r="AH135" i="30"/>
  <c r="AI135" i="30"/>
  <c r="AG136" i="30"/>
  <c r="AH136" i="30"/>
  <c r="AI136" i="30"/>
  <c r="AG137" i="30"/>
  <c r="AH137" i="30"/>
  <c r="AI137" i="30"/>
  <c r="AG138" i="30"/>
  <c r="AH138" i="30"/>
  <c r="AI138" i="30"/>
  <c r="AG139" i="30"/>
  <c r="AH139" i="30"/>
  <c r="AI139" i="30"/>
  <c r="AG140" i="30"/>
  <c r="AH140" i="30"/>
  <c r="AI140" i="30"/>
  <c r="AG141" i="30"/>
  <c r="AH141" i="30"/>
  <c r="AI141" i="30"/>
  <c r="AG142" i="30"/>
  <c r="AH142" i="30"/>
  <c r="AI142" i="30"/>
  <c r="AG143" i="30"/>
  <c r="AH143" i="30"/>
  <c r="AI143" i="30"/>
  <c r="AG144" i="30"/>
  <c r="AH144" i="30"/>
  <c r="AI144" i="30"/>
  <c r="AG145" i="30"/>
  <c r="AH145" i="30"/>
  <c r="AI145" i="30"/>
  <c r="AG146" i="30"/>
  <c r="AH146" i="30"/>
  <c r="AI146" i="30"/>
  <c r="AG147" i="30"/>
  <c r="AH147" i="30"/>
  <c r="AI147" i="30"/>
  <c r="AG148" i="30"/>
  <c r="AH148" i="30"/>
  <c r="AI148" i="30"/>
  <c r="AG149" i="30"/>
  <c r="AH149" i="30"/>
  <c r="AI149" i="30"/>
  <c r="AG150" i="30"/>
  <c r="AH150" i="30"/>
  <c r="AI150" i="30"/>
  <c r="AG151" i="30"/>
  <c r="AH151" i="30"/>
  <c r="AI151" i="30"/>
  <c r="AG152" i="30"/>
  <c r="AH152" i="30"/>
  <c r="AI152" i="30"/>
  <c r="AG153" i="30"/>
  <c r="AH153" i="30"/>
  <c r="AI153" i="30"/>
  <c r="AG154" i="30"/>
  <c r="AH154" i="30"/>
  <c r="AI154" i="30"/>
  <c r="AG155" i="30"/>
  <c r="AH155" i="30"/>
  <c r="AI155" i="30"/>
  <c r="AG156" i="30"/>
  <c r="AH156" i="30"/>
  <c r="AI156" i="30"/>
  <c r="AG157" i="30"/>
  <c r="AH157" i="30"/>
  <c r="AI157" i="30"/>
  <c r="AG158" i="30"/>
  <c r="AH158" i="30"/>
  <c r="AI158" i="30"/>
  <c r="AG159" i="30"/>
  <c r="AH159" i="30"/>
  <c r="AI159" i="30"/>
  <c r="AG160" i="30"/>
  <c r="AH160" i="30"/>
  <c r="AI160" i="30"/>
  <c r="AI17" i="26"/>
  <c r="AI18" i="26"/>
  <c r="AI19" i="26"/>
  <c r="AI20" i="26"/>
  <c r="AI21" i="26"/>
  <c r="AI22" i="26"/>
  <c r="AI23" i="26"/>
  <c r="AI24" i="26"/>
  <c r="AI25" i="26"/>
  <c r="AI26" i="26"/>
  <c r="AI27" i="26"/>
  <c r="AI28" i="26"/>
  <c r="AI29" i="26"/>
  <c r="AI30" i="26"/>
  <c r="AI31" i="26"/>
  <c r="AI32" i="26"/>
  <c r="AI33" i="26"/>
  <c r="AI34" i="26"/>
  <c r="AI35" i="26"/>
  <c r="AI36" i="26"/>
  <c r="AI37" i="26"/>
  <c r="AI38" i="26"/>
  <c r="AI39" i="26"/>
  <c r="AI40" i="26"/>
  <c r="AI41" i="26"/>
  <c r="AI42" i="26"/>
  <c r="AI43" i="26"/>
  <c r="AI44" i="26"/>
  <c r="AI45" i="26"/>
  <c r="AI46" i="26"/>
  <c r="AI47" i="26"/>
  <c r="AI48" i="26"/>
  <c r="AI49" i="26"/>
  <c r="AI50" i="26"/>
  <c r="AI51" i="26"/>
  <c r="AI52" i="26"/>
  <c r="AI53" i="26"/>
  <c r="AI54" i="26"/>
  <c r="AI55" i="26"/>
  <c r="AI56" i="26"/>
  <c r="AI57" i="26"/>
  <c r="AI58" i="26"/>
  <c r="AI59" i="26"/>
  <c r="AI60" i="26"/>
  <c r="AI61" i="26"/>
  <c r="AI62" i="26"/>
  <c r="AI63" i="26"/>
  <c r="AI64" i="26"/>
  <c r="AI65" i="26"/>
  <c r="AI66" i="26"/>
  <c r="AI67" i="26"/>
  <c r="AI68" i="26"/>
  <c r="AI69" i="26"/>
  <c r="AI70" i="26"/>
  <c r="AI71" i="26"/>
  <c r="AI72" i="26"/>
  <c r="AI73" i="26"/>
  <c r="AI74" i="26"/>
  <c r="AI75" i="26"/>
  <c r="AI76" i="26"/>
  <c r="AI77" i="26"/>
  <c r="AI78" i="26"/>
  <c r="AI79" i="26"/>
  <c r="AI80" i="26"/>
  <c r="AI81" i="26"/>
  <c r="AI82" i="26"/>
  <c r="AI83" i="26"/>
  <c r="AI84" i="26"/>
  <c r="AI85" i="26"/>
  <c r="AI86" i="26"/>
  <c r="AI87" i="26"/>
  <c r="AI88" i="26"/>
  <c r="AI89" i="26"/>
  <c r="AI90" i="26"/>
  <c r="AI91" i="26"/>
  <c r="AI92" i="26"/>
  <c r="AI93" i="26"/>
  <c r="AI94" i="26"/>
  <c r="AI95" i="26"/>
  <c r="AI96" i="26"/>
  <c r="AI97" i="26"/>
  <c r="AI98" i="26"/>
  <c r="AI99" i="26"/>
  <c r="AI100" i="26"/>
  <c r="AI101" i="26"/>
  <c r="AI102" i="26"/>
  <c r="AI103" i="26"/>
  <c r="AI104" i="26"/>
  <c r="AI105" i="26"/>
  <c r="AI106" i="26"/>
  <c r="AI107" i="26"/>
  <c r="AI108" i="26"/>
  <c r="AI109" i="26"/>
  <c r="AI110" i="26"/>
  <c r="AI111" i="26"/>
  <c r="AI112" i="26"/>
  <c r="AI113" i="26"/>
  <c r="AI114" i="26"/>
  <c r="AI115" i="26"/>
  <c r="AI116" i="26"/>
  <c r="AI117" i="26"/>
  <c r="AI118" i="26"/>
  <c r="AI119" i="26"/>
  <c r="AI120" i="26"/>
  <c r="AI121" i="26"/>
  <c r="AI122" i="26"/>
  <c r="AI123" i="26"/>
  <c r="AI124" i="26"/>
  <c r="AI125" i="26"/>
  <c r="AI126" i="26"/>
  <c r="AI127" i="26"/>
  <c r="AI128" i="26"/>
  <c r="AI129" i="26"/>
  <c r="AI130" i="26"/>
  <c r="AI131" i="26"/>
  <c r="AI132" i="26"/>
  <c r="AI133" i="26"/>
  <c r="AI134" i="26"/>
  <c r="AI135" i="26"/>
  <c r="AI136" i="26"/>
  <c r="AI137" i="26"/>
  <c r="AI138" i="26"/>
  <c r="AI139" i="26"/>
  <c r="AI140" i="26"/>
  <c r="AI141" i="26"/>
  <c r="AI142" i="26"/>
  <c r="AI143" i="26"/>
  <c r="AI144" i="26"/>
  <c r="AI145" i="26"/>
  <c r="AI146" i="26"/>
  <c r="AI147" i="26"/>
  <c r="AI148" i="26"/>
  <c r="AI149" i="26"/>
  <c r="AI150" i="26"/>
  <c r="AI151" i="26"/>
  <c r="AI152" i="26"/>
  <c r="AI153" i="26"/>
  <c r="AI154" i="26"/>
  <c r="AI155" i="26"/>
  <c r="AI156" i="26"/>
  <c r="AI157" i="26"/>
  <c r="AI158" i="26"/>
  <c r="AI159" i="26"/>
  <c r="AI160" i="26"/>
  <c r="AH17" i="26"/>
  <c r="AH18" i="26"/>
  <c r="AH19" i="26"/>
  <c r="AH20" i="26"/>
  <c r="AH21" i="26"/>
  <c r="AH22" i="26"/>
  <c r="AH23" i="26"/>
  <c r="AH24" i="26"/>
  <c r="AH25" i="26"/>
  <c r="AH26" i="26"/>
  <c r="AH27" i="26"/>
  <c r="AH28" i="26"/>
  <c r="AH29" i="26"/>
  <c r="AH30" i="26"/>
  <c r="AH31" i="26"/>
  <c r="AH32" i="26"/>
  <c r="AH33" i="26"/>
  <c r="AH34" i="26"/>
  <c r="AH35" i="26"/>
  <c r="AH36" i="26"/>
  <c r="AH37" i="26"/>
  <c r="AH38" i="26"/>
  <c r="AH39" i="26"/>
  <c r="AH40" i="26"/>
  <c r="AH41" i="26"/>
  <c r="AH42" i="26"/>
  <c r="AH43" i="26"/>
  <c r="AH44" i="26"/>
  <c r="AH45" i="26"/>
  <c r="AH46" i="26"/>
  <c r="AH47" i="26"/>
  <c r="AH48" i="26"/>
  <c r="AH49" i="26"/>
  <c r="AH50" i="26"/>
  <c r="AH51" i="26"/>
  <c r="AH52" i="26"/>
  <c r="AH53" i="26"/>
  <c r="AH54" i="26"/>
  <c r="AH55" i="26"/>
  <c r="AH56" i="26"/>
  <c r="AH57" i="26"/>
  <c r="AH58" i="26"/>
  <c r="AH59" i="26"/>
  <c r="AH60" i="26"/>
  <c r="AH61" i="26"/>
  <c r="AH62" i="26"/>
  <c r="AH63" i="26"/>
  <c r="AH64" i="26"/>
  <c r="AH65" i="26"/>
  <c r="AH66" i="26"/>
  <c r="AH67" i="26"/>
  <c r="AH68" i="26"/>
  <c r="AH69" i="26"/>
  <c r="AH70" i="26"/>
  <c r="AH71" i="26"/>
  <c r="AH72" i="26"/>
  <c r="AH73" i="26"/>
  <c r="AH74" i="26"/>
  <c r="AH75" i="26"/>
  <c r="AH76" i="26"/>
  <c r="AH77" i="26"/>
  <c r="AH78" i="26"/>
  <c r="AH79" i="26"/>
  <c r="AH80" i="26"/>
  <c r="AH81" i="26"/>
  <c r="AH82" i="26"/>
  <c r="AH83" i="26"/>
  <c r="AH84" i="26"/>
  <c r="AH85" i="26"/>
  <c r="AH86" i="26"/>
  <c r="AH87" i="26"/>
  <c r="AH88" i="26"/>
  <c r="AH89" i="26"/>
  <c r="AH90" i="26"/>
  <c r="AH91" i="26"/>
  <c r="AH92" i="26"/>
  <c r="AH93" i="26"/>
  <c r="AH94" i="26"/>
  <c r="AH95" i="26"/>
  <c r="AH96" i="26"/>
  <c r="AH97" i="26"/>
  <c r="AH98" i="26"/>
  <c r="AH99" i="26"/>
  <c r="AH100" i="26"/>
  <c r="AH101" i="26"/>
  <c r="AH102" i="26"/>
  <c r="AH103" i="26"/>
  <c r="AH104" i="26"/>
  <c r="AH105" i="26"/>
  <c r="AH106" i="26"/>
  <c r="AH107" i="26"/>
  <c r="AH108" i="26"/>
  <c r="AH109" i="26"/>
  <c r="AH110" i="26"/>
  <c r="AH111" i="26"/>
  <c r="AH112" i="26"/>
  <c r="AH113" i="26"/>
  <c r="AH114" i="26"/>
  <c r="AH115" i="26"/>
  <c r="AH116" i="26"/>
  <c r="AH117" i="26"/>
  <c r="AH118" i="26"/>
  <c r="AH119" i="26"/>
  <c r="AH120" i="26"/>
  <c r="AH121" i="26"/>
  <c r="AH122" i="26"/>
  <c r="AH123" i="26"/>
  <c r="AH124" i="26"/>
  <c r="AH125" i="26"/>
  <c r="AH126" i="26"/>
  <c r="AH127" i="26"/>
  <c r="AH128" i="26"/>
  <c r="AH129" i="26"/>
  <c r="AH130" i="26"/>
  <c r="AH131" i="26"/>
  <c r="AH132" i="26"/>
  <c r="AH133" i="26"/>
  <c r="AH134" i="26"/>
  <c r="AH135" i="26"/>
  <c r="AH136" i="26"/>
  <c r="AH137" i="26"/>
  <c r="AH138" i="26"/>
  <c r="AH139" i="26"/>
  <c r="AH140" i="26"/>
  <c r="AH141" i="26"/>
  <c r="AH142" i="26"/>
  <c r="AH143" i="26"/>
  <c r="AH144" i="26"/>
  <c r="AH145" i="26"/>
  <c r="AH146" i="26"/>
  <c r="AH147" i="26"/>
  <c r="AH148" i="26"/>
  <c r="AH149" i="26"/>
  <c r="AH150" i="26"/>
  <c r="AH151" i="26"/>
  <c r="AH152" i="26"/>
  <c r="AH153" i="26"/>
  <c r="AH154" i="26"/>
  <c r="AH155" i="26"/>
  <c r="AH156" i="26"/>
  <c r="AH157" i="26"/>
  <c r="AH158" i="26"/>
  <c r="AH159" i="26"/>
  <c r="AH160" i="26"/>
  <c r="AG17" i="26"/>
  <c r="AG18" i="26"/>
  <c r="AG19" i="26"/>
  <c r="AG20" i="26"/>
  <c r="AG21" i="26"/>
  <c r="AG22" i="26"/>
  <c r="AG23" i="26"/>
  <c r="AG24" i="26"/>
  <c r="AG25" i="26"/>
  <c r="AG26" i="26"/>
  <c r="AG27" i="26"/>
  <c r="AG28" i="26"/>
  <c r="AG29" i="26"/>
  <c r="AG30" i="26"/>
  <c r="AG31" i="26"/>
  <c r="AG32" i="26"/>
  <c r="AG33" i="26"/>
  <c r="AG34" i="26"/>
  <c r="AG35" i="26"/>
  <c r="AG36" i="26"/>
  <c r="AG37" i="26"/>
  <c r="AG38" i="26"/>
  <c r="AG39" i="26"/>
  <c r="AG40" i="26"/>
  <c r="AG41" i="26"/>
  <c r="AG42" i="26"/>
  <c r="AG43" i="26"/>
  <c r="AG44" i="26"/>
  <c r="AG45" i="26"/>
  <c r="AG46" i="26"/>
  <c r="AG47" i="26"/>
  <c r="AG48" i="26"/>
  <c r="AG49" i="26"/>
  <c r="AG50" i="26"/>
  <c r="AG51" i="26"/>
  <c r="AG52" i="26"/>
  <c r="AG53" i="26"/>
  <c r="AG54" i="26"/>
  <c r="AG55" i="26"/>
  <c r="AG56" i="26"/>
  <c r="AG57" i="26"/>
  <c r="AG58" i="26"/>
  <c r="AG59" i="26"/>
  <c r="AG60" i="26"/>
  <c r="AG61" i="26"/>
  <c r="AG62" i="26"/>
  <c r="AG63" i="26"/>
  <c r="AG64" i="26"/>
  <c r="AG65" i="26"/>
  <c r="AG66" i="26"/>
  <c r="AG67" i="26"/>
  <c r="AG68" i="26"/>
  <c r="AG69" i="26"/>
  <c r="AG70" i="26"/>
  <c r="AG71" i="26"/>
  <c r="AG72" i="26"/>
  <c r="AG73" i="26"/>
  <c r="AG74" i="26"/>
  <c r="AG75" i="26"/>
  <c r="AG76" i="26"/>
  <c r="AG77" i="26"/>
  <c r="AG78" i="26"/>
  <c r="AG79" i="26"/>
  <c r="AG80" i="26"/>
  <c r="AG81" i="26"/>
  <c r="AG82" i="26"/>
  <c r="AG83" i="26"/>
  <c r="AG84" i="26"/>
  <c r="AG85" i="26"/>
  <c r="AG86" i="26"/>
  <c r="AG87" i="26"/>
  <c r="AG88" i="26"/>
  <c r="AG89" i="26"/>
  <c r="AG90" i="26"/>
  <c r="AG91" i="26"/>
  <c r="AG92" i="26"/>
  <c r="AG93" i="26"/>
  <c r="AG94" i="26"/>
  <c r="AG95" i="26"/>
  <c r="AG96" i="26"/>
  <c r="AG97" i="26"/>
  <c r="AG98" i="26"/>
  <c r="AG99" i="26"/>
  <c r="AG100" i="26"/>
  <c r="AG101" i="26"/>
  <c r="AG102" i="26"/>
  <c r="AG103" i="26"/>
  <c r="AG104" i="26"/>
  <c r="AG105" i="26"/>
  <c r="AG106" i="26"/>
  <c r="AG107" i="26"/>
  <c r="AG108" i="26"/>
  <c r="AG109" i="26"/>
  <c r="AG110" i="26"/>
  <c r="AG111" i="26"/>
  <c r="AG112" i="26"/>
  <c r="AG113" i="26"/>
  <c r="AG114" i="26"/>
  <c r="AG115" i="26"/>
  <c r="AG116" i="26"/>
  <c r="AG117" i="26"/>
  <c r="AG118" i="26"/>
  <c r="AG119" i="26"/>
  <c r="AG120" i="26"/>
  <c r="AG121" i="26"/>
  <c r="AG122" i="26"/>
  <c r="AG123" i="26"/>
  <c r="AG124" i="26"/>
  <c r="AG125" i="26"/>
  <c r="AG126" i="26"/>
  <c r="AG127" i="26"/>
  <c r="AG128" i="26"/>
  <c r="AG129" i="26"/>
  <c r="AG130" i="26"/>
  <c r="AG131" i="26"/>
  <c r="AG132" i="26"/>
  <c r="AG133" i="26"/>
  <c r="AG134" i="26"/>
  <c r="AG135" i="26"/>
  <c r="AG136" i="26"/>
  <c r="AG137" i="26"/>
  <c r="AG138" i="26"/>
  <c r="AG139" i="26"/>
  <c r="AG140" i="26"/>
  <c r="AG141" i="26"/>
  <c r="AG142" i="26"/>
  <c r="AG143" i="26"/>
  <c r="AG144" i="26"/>
  <c r="AG145" i="26"/>
  <c r="AG146" i="26"/>
  <c r="AG147" i="26"/>
  <c r="AG148" i="26"/>
  <c r="AG149" i="26"/>
  <c r="AG150" i="26"/>
  <c r="AG151" i="26"/>
  <c r="AG152" i="26"/>
  <c r="AG153" i="26"/>
  <c r="AG154" i="26"/>
  <c r="AG155" i="26"/>
  <c r="AG156" i="26"/>
  <c r="AG157" i="26"/>
  <c r="AG158" i="26"/>
  <c r="AG159" i="26"/>
  <c r="AG160" i="26"/>
  <c r="W17" i="30"/>
  <c r="W18" i="30"/>
  <c r="W19" i="30"/>
  <c r="W20" i="30"/>
  <c r="W21" i="30"/>
  <c r="W22" i="30"/>
  <c r="W23" i="30"/>
  <c r="W24" i="30"/>
  <c r="W25" i="30"/>
  <c r="W26" i="30"/>
  <c r="W27" i="30"/>
  <c r="W28" i="30"/>
  <c r="W29" i="30"/>
  <c r="W30" i="30"/>
  <c r="W31" i="30"/>
  <c r="W32" i="30"/>
  <c r="W33" i="30"/>
  <c r="W34" i="30"/>
  <c r="W35" i="30"/>
  <c r="W36" i="30"/>
  <c r="W37" i="30"/>
  <c r="W38" i="30"/>
  <c r="W39" i="30"/>
  <c r="W40" i="30"/>
  <c r="W41" i="30"/>
  <c r="W42" i="30"/>
  <c r="W43" i="30"/>
  <c r="W44" i="30"/>
  <c r="W45" i="30"/>
  <c r="W46" i="30"/>
  <c r="W47" i="30"/>
  <c r="W48" i="30"/>
  <c r="W49" i="30"/>
  <c r="W50" i="30"/>
  <c r="W51" i="30"/>
  <c r="W52" i="30"/>
  <c r="W53" i="30"/>
  <c r="W54" i="30"/>
  <c r="W55" i="30"/>
  <c r="W56" i="30"/>
  <c r="W57" i="30"/>
  <c r="W58" i="30"/>
  <c r="W59" i="30"/>
  <c r="W60" i="30"/>
  <c r="W61" i="30"/>
  <c r="W62" i="30"/>
  <c r="W63" i="30"/>
  <c r="W64" i="30"/>
  <c r="W65" i="30"/>
  <c r="W66" i="30"/>
  <c r="W67" i="30"/>
  <c r="W68" i="30"/>
  <c r="W69" i="30"/>
  <c r="W70" i="30"/>
  <c r="W71" i="30"/>
  <c r="W72" i="30"/>
  <c r="W73" i="30"/>
  <c r="W74" i="30"/>
  <c r="W75" i="30"/>
  <c r="W76" i="30"/>
  <c r="W77" i="30"/>
  <c r="W78" i="30"/>
  <c r="W79" i="30"/>
  <c r="W80" i="30"/>
  <c r="W81" i="30"/>
  <c r="W82" i="30"/>
  <c r="W83" i="30"/>
  <c r="W84" i="30"/>
  <c r="W85" i="30"/>
  <c r="W86" i="30"/>
  <c r="W87" i="30"/>
  <c r="W88" i="30"/>
  <c r="W89" i="30"/>
  <c r="W90" i="30"/>
  <c r="W91" i="30"/>
  <c r="W92" i="30"/>
  <c r="W93" i="30"/>
  <c r="W94" i="30"/>
  <c r="W95" i="30"/>
  <c r="W96" i="30"/>
  <c r="W97" i="30"/>
  <c r="W98" i="30"/>
  <c r="W99" i="30"/>
  <c r="W100" i="30"/>
  <c r="W101" i="30"/>
  <c r="W102" i="30"/>
  <c r="W103" i="30"/>
  <c r="W104" i="30"/>
  <c r="W105" i="30"/>
  <c r="W106" i="30"/>
  <c r="W107" i="30"/>
  <c r="W108" i="30"/>
  <c r="W109" i="30"/>
  <c r="W110" i="30"/>
  <c r="W111" i="30"/>
  <c r="W112" i="30"/>
  <c r="W113" i="30"/>
  <c r="W114" i="30"/>
  <c r="W115" i="30"/>
  <c r="W116" i="30"/>
  <c r="W117" i="30"/>
  <c r="W118" i="30"/>
  <c r="W119" i="30"/>
  <c r="W120" i="30"/>
  <c r="W121" i="30"/>
  <c r="W122" i="30"/>
  <c r="W123" i="30"/>
  <c r="W124" i="30"/>
  <c r="W125" i="30"/>
  <c r="W126" i="30"/>
  <c r="W127" i="30"/>
  <c r="W128" i="30"/>
  <c r="W129" i="30"/>
  <c r="W130" i="30"/>
  <c r="W131" i="30"/>
  <c r="W132" i="30"/>
  <c r="W133" i="30"/>
  <c r="W134" i="30"/>
  <c r="W135" i="30"/>
  <c r="W136" i="30"/>
  <c r="W137" i="30"/>
  <c r="W138" i="30"/>
  <c r="W139" i="30"/>
  <c r="W140" i="30"/>
  <c r="W141" i="30"/>
  <c r="W142" i="30"/>
  <c r="W143" i="30"/>
  <c r="W144" i="30"/>
  <c r="W145" i="30"/>
  <c r="W146" i="30"/>
  <c r="W147" i="30"/>
  <c r="W148" i="30"/>
  <c r="W149" i="30"/>
  <c r="W150" i="30"/>
  <c r="W151" i="30"/>
  <c r="W152" i="30"/>
  <c r="W153" i="30"/>
  <c r="W154" i="30"/>
  <c r="W155" i="30"/>
  <c r="W156" i="30"/>
  <c r="W157" i="30"/>
  <c r="W158" i="30"/>
  <c r="W159" i="30"/>
  <c r="W160" i="30"/>
  <c r="W14" i="26"/>
  <c r="W16" i="26"/>
  <c r="W17" i="26"/>
  <c r="W18" i="26"/>
  <c r="W19" i="26"/>
  <c r="W20" i="26"/>
  <c r="W21" i="26"/>
  <c r="W22" i="26"/>
  <c r="W23" i="26"/>
  <c r="W24" i="26"/>
  <c r="W25" i="26"/>
  <c r="W26" i="26"/>
  <c r="W27" i="26"/>
  <c r="W28" i="26"/>
  <c r="W29" i="26"/>
  <c r="W30" i="26"/>
  <c r="W31" i="26"/>
  <c r="W32" i="26"/>
  <c r="W33" i="26"/>
  <c r="W34" i="26"/>
  <c r="W35" i="26"/>
  <c r="W36" i="26"/>
  <c r="W37" i="26"/>
  <c r="W38" i="26"/>
  <c r="W39" i="26"/>
  <c r="W40" i="26"/>
  <c r="W41" i="26"/>
  <c r="W42" i="26"/>
  <c r="W43" i="26"/>
  <c r="W44" i="26"/>
  <c r="W45" i="26"/>
  <c r="W46" i="26"/>
  <c r="W47" i="26"/>
  <c r="W48" i="26"/>
  <c r="W49" i="26"/>
  <c r="W50" i="26"/>
  <c r="W51" i="26"/>
  <c r="W52" i="26"/>
  <c r="W53" i="26"/>
  <c r="W54" i="26"/>
  <c r="W55" i="26"/>
  <c r="W56" i="26"/>
  <c r="W57" i="26"/>
  <c r="W58" i="26"/>
  <c r="W59" i="26"/>
  <c r="W60" i="26"/>
  <c r="W61" i="26"/>
  <c r="W62" i="26"/>
  <c r="W63" i="26"/>
  <c r="W64" i="26"/>
  <c r="W65" i="26"/>
  <c r="W66" i="26"/>
  <c r="W67" i="26"/>
  <c r="W68" i="26"/>
  <c r="W69" i="26"/>
  <c r="W70" i="26"/>
  <c r="W71" i="26"/>
  <c r="W72" i="26"/>
  <c r="W73" i="26"/>
  <c r="W74" i="26"/>
  <c r="W75" i="26"/>
  <c r="W76" i="26"/>
  <c r="W77" i="26"/>
  <c r="W78" i="26"/>
  <c r="W79" i="26"/>
  <c r="W80" i="26"/>
  <c r="W81" i="26"/>
  <c r="W82" i="26"/>
  <c r="W83" i="26"/>
  <c r="W84" i="26"/>
  <c r="W85" i="26"/>
  <c r="W86" i="26"/>
  <c r="W87" i="26"/>
  <c r="W88" i="26"/>
  <c r="W89" i="26"/>
  <c r="W90" i="26"/>
  <c r="W91" i="26"/>
  <c r="W92" i="26"/>
  <c r="W93" i="26"/>
  <c r="W94" i="26"/>
  <c r="W95" i="26"/>
  <c r="W96" i="26"/>
  <c r="W97" i="26"/>
  <c r="W98" i="26"/>
  <c r="W99" i="26"/>
  <c r="W100" i="26"/>
  <c r="W101" i="26"/>
  <c r="W102" i="26"/>
  <c r="W103" i="26"/>
  <c r="W104" i="26"/>
  <c r="W105" i="26"/>
  <c r="W106" i="26"/>
  <c r="W107" i="26"/>
  <c r="W108" i="26"/>
  <c r="W109" i="26"/>
  <c r="W110" i="26"/>
  <c r="W111" i="26"/>
  <c r="W112" i="26"/>
  <c r="W113" i="26"/>
  <c r="W114" i="26"/>
  <c r="W115" i="26"/>
  <c r="W116" i="26"/>
  <c r="W117" i="26"/>
  <c r="W118" i="26"/>
  <c r="W119" i="26"/>
  <c r="W120" i="26"/>
  <c r="W121" i="26"/>
  <c r="W122" i="26"/>
  <c r="W123" i="26"/>
  <c r="W124" i="26"/>
  <c r="W125" i="26"/>
  <c r="W126" i="26"/>
  <c r="W127" i="26"/>
  <c r="W128" i="26"/>
  <c r="W129" i="26"/>
  <c r="W130" i="26"/>
  <c r="W131" i="26"/>
  <c r="W132" i="26"/>
  <c r="W133" i="26"/>
  <c r="W134" i="26"/>
  <c r="W135" i="26"/>
  <c r="W136" i="26"/>
  <c r="W137" i="26"/>
  <c r="W138" i="26"/>
  <c r="W139" i="26"/>
  <c r="W140" i="26"/>
  <c r="W141" i="26"/>
  <c r="W142" i="26"/>
  <c r="W143" i="26"/>
  <c r="W144" i="26"/>
  <c r="W145" i="26"/>
  <c r="W146" i="26"/>
  <c r="W147" i="26"/>
  <c r="W148" i="26"/>
  <c r="W149" i="26"/>
  <c r="W150" i="26"/>
  <c r="W151" i="26"/>
  <c r="W152" i="26"/>
  <c r="W153" i="26"/>
  <c r="W154" i="26"/>
  <c r="W155" i="26"/>
  <c r="W156" i="26"/>
  <c r="W157" i="26"/>
  <c r="W158" i="26"/>
  <c r="W159" i="26"/>
  <c r="W160" i="26"/>
  <c r="AO7" i="23"/>
  <c r="AP7" i="23" s="1"/>
  <c r="AO8" i="23"/>
  <c r="AO9" i="23"/>
  <c r="AO10" i="23"/>
  <c r="AO11" i="23"/>
  <c r="AO12" i="23"/>
  <c r="AO13" i="23"/>
  <c r="AO14" i="23"/>
  <c r="AO15" i="23"/>
  <c r="AO16" i="23"/>
  <c r="AO17" i="23"/>
  <c r="AO18" i="23"/>
  <c r="AO19" i="23"/>
  <c r="AO20" i="23"/>
  <c r="AO21" i="23"/>
  <c r="AO22" i="23"/>
  <c r="AO23" i="23"/>
  <c r="AO24" i="23"/>
  <c r="AO25" i="23"/>
  <c r="AO26" i="23"/>
  <c r="AO27" i="23"/>
  <c r="AO28" i="23"/>
  <c r="AO29" i="23"/>
  <c r="AO30" i="23"/>
  <c r="AO31" i="23"/>
  <c r="AO32" i="23"/>
  <c r="AO33" i="23"/>
  <c r="AO34" i="23"/>
  <c r="AO35" i="23"/>
  <c r="AO36" i="23"/>
  <c r="AO37" i="23"/>
  <c r="AO38" i="23"/>
  <c r="AO39" i="23"/>
  <c r="AO40" i="23"/>
  <c r="AO41" i="23"/>
  <c r="AO42" i="23"/>
  <c r="AO43" i="23"/>
  <c r="AO44" i="23"/>
  <c r="AO45" i="23"/>
  <c r="AO46" i="23"/>
  <c r="AO47" i="23"/>
  <c r="AO48" i="23"/>
  <c r="AO49" i="23"/>
  <c r="AO50" i="23"/>
  <c r="AO51" i="23"/>
  <c r="AO52" i="23"/>
  <c r="AO53" i="23"/>
  <c r="AO54" i="23"/>
  <c r="AO55" i="23"/>
  <c r="AO56" i="23"/>
  <c r="AO57" i="23"/>
  <c r="AO58" i="23"/>
  <c r="AQ10" i="23"/>
  <c r="C12" i="23"/>
  <c r="AI7" i="23"/>
  <c r="AJ7" i="23"/>
  <c r="Z8" i="23"/>
  <c r="AP8" i="23" l="1"/>
  <c r="AP9" i="23" s="1"/>
  <c r="AP10" i="23" s="1"/>
  <c r="AP11" i="23" s="1"/>
  <c r="AP12" i="23" s="1"/>
  <c r="AP13" i="23" s="1"/>
  <c r="AP14" i="23" s="1"/>
  <c r="AP15" i="23" s="1"/>
  <c r="AP16" i="23" s="1"/>
  <c r="AP17" i="23" s="1"/>
  <c r="AP18" i="23" s="1"/>
  <c r="AP19" i="23" s="1"/>
  <c r="AP20" i="23" s="1"/>
  <c r="AP21" i="23" s="1"/>
  <c r="AP22" i="23" s="1"/>
  <c r="AP23" i="23" s="1"/>
  <c r="AP24" i="23" s="1"/>
  <c r="AP25" i="23" s="1"/>
  <c r="AP26" i="23" s="1"/>
  <c r="AP27" i="23" s="1"/>
  <c r="AP28" i="23" s="1"/>
  <c r="AP29" i="23" s="1"/>
  <c r="AP30" i="23" s="1"/>
  <c r="AP31" i="23" s="1"/>
  <c r="AP32" i="23" s="1"/>
  <c r="AP33" i="23" s="1"/>
  <c r="AP34" i="23" s="1"/>
  <c r="AP35" i="23" s="1"/>
  <c r="AP36" i="23" s="1"/>
  <c r="AP37" i="23" s="1"/>
  <c r="AP38" i="23" s="1"/>
  <c r="AP39" i="23" s="1"/>
  <c r="AP40" i="23" s="1"/>
  <c r="AP41" i="23" s="1"/>
  <c r="AP42" i="23" s="1"/>
  <c r="AP43" i="23" s="1"/>
  <c r="AP44" i="23" s="1"/>
  <c r="AP45" i="23" s="1"/>
  <c r="AP46" i="23" s="1"/>
  <c r="AP47" i="23" s="1"/>
  <c r="AP48" i="23" s="1"/>
  <c r="AP49" i="23" s="1"/>
  <c r="AP50" i="23" s="1"/>
  <c r="AP51" i="23" s="1"/>
  <c r="AP52" i="23" s="1"/>
  <c r="AP53" i="23" s="1"/>
  <c r="AP54" i="23" s="1"/>
  <c r="AP55" i="23" s="1"/>
  <c r="AP56" i="23" s="1"/>
  <c r="AP57" i="23" s="1"/>
  <c r="AP58" i="23" s="1"/>
  <c r="Z7" i="23"/>
  <c r="L7" i="23" l="1"/>
  <c r="D48" i="2" l="1"/>
  <c r="E128" i="12" l="1"/>
  <c r="G128" i="12"/>
  <c r="F128" i="12"/>
  <c r="H128" i="12" s="1"/>
  <c r="E129" i="12"/>
  <c r="I15" i="1"/>
  <c r="J15" i="1" s="1"/>
  <c r="I16" i="1"/>
  <c r="J16" i="1" s="1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AJ56" i="23"/>
  <c r="AJ57" i="23"/>
  <c r="AK57" i="23" s="1"/>
  <c r="AL57" i="23" s="1" a="1"/>
  <c r="AL57" i="23" s="1"/>
  <c r="AJ58" i="23"/>
  <c r="AK58" i="23" s="1"/>
  <c r="AL58" i="23" s="1" a="1"/>
  <c r="AL58" i="23" s="1"/>
  <c r="AT7" i="23" a="1"/>
  <c r="AT7" i="23" s="1"/>
  <c r="L57" i="23"/>
  <c r="M57" i="23"/>
  <c r="N57" i="23"/>
  <c r="Q57" i="23"/>
  <c r="AC57" i="23" s="1" a="1"/>
  <c r="AC57" i="23" s="1"/>
  <c r="Z57" i="23"/>
  <c r="AI57" i="23"/>
  <c r="L58" i="23"/>
  <c r="M58" i="23"/>
  <c r="N58" i="23"/>
  <c r="Q58" i="23"/>
  <c r="Z58" i="23"/>
  <c r="AI58" i="23"/>
  <c r="G129" i="12" l="1"/>
  <c r="F129" i="12"/>
  <c r="H129" i="12" s="1"/>
  <c r="AH12" i="3"/>
  <c r="AH14" i="26"/>
  <c r="AG15" i="26"/>
  <c r="AG16" i="26"/>
  <c r="AG14" i="26"/>
  <c r="AI15" i="26"/>
  <c r="AI16" i="26"/>
  <c r="AI14" i="26"/>
  <c r="AH15" i="26"/>
  <c r="AH16" i="26"/>
  <c r="AM58" i="23"/>
  <c r="O57" i="23"/>
  <c r="AA57" i="23" s="1"/>
  <c r="P57" i="23"/>
  <c r="AB57" i="23" s="1"/>
  <c r="O58" i="23"/>
  <c r="AC13" i="3" s="1"/>
  <c r="P58" i="23"/>
  <c r="AB58" i="23" s="1"/>
  <c r="AG12" i="3"/>
  <c r="AH13" i="3"/>
  <c r="AI12" i="3"/>
  <c r="AG13" i="3"/>
  <c r="AI13" i="3"/>
  <c r="R58" i="23"/>
  <c r="S58" i="23" s="1"/>
  <c r="AF58" i="23" a="1"/>
  <c r="AF58" i="23" s="1"/>
  <c r="W58" i="23" a="1"/>
  <c r="W58" i="23" s="1"/>
  <c r="T58" i="23" a="1"/>
  <c r="T58" i="23" s="1"/>
  <c r="W57" i="23" a="1"/>
  <c r="W57" i="23" s="1"/>
  <c r="T57" i="23" a="1"/>
  <c r="T57" i="23" s="1"/>
  <c r="AF57" i="23" a="1"/>
  <c r="AF57" i="23" s="1"/>
  <c r="R57" i="23"/>
  <c r="S57" i="23" s="1"/>
  <c r="AC58" i="23" a="1"/>
  <c r="AC58" i="23" s="1"/>
  <c r="AD13" i="3" l="1"/>
  <c r="AD12" i="3"/>
  <c r="AE16" i="26" a="1"/>
  <c r="AE16" i="26" s="1"/>
  <c r="AE15" i="26" a="1"/>
  <c r="AE15" i="26" s="1"/>
  <c r="AF16" i="26" a="1"/>
  <c r="AF16" i="26" s="1"/>
  <c r="AF14" i="26" a="1"/>
  <c r="AF14" i="26" s="1"/>
  <c r="AF15" i="26" a="1"/>
  <c r="AF15" i="26" s="1"/>
  <c r="AA58" i="23"/>
  <c r="AD14" i="26"/>
  <c r="AD16" i="26"/>
  <c r="AC16" i="26"/>
  <c r="AD15" i="26"/>
  <c r="AC15" i="26"/>
  <c r="AE14" i="26" a="1"/>
  <c r="AE14" i="26" s="1"/>
  <c r="AD58" i="23"/>
  <c r="AE58" i="23" s="1"/>
  <c r="AN58" i="23"/>
  <c r="X58" i="23"/>
  <c r="Y58" i="23" s="1"/>
  <c r="AG58" i="23"/>
  <c r="AH58" i="23" s="1"/>
  <c r="U58" i="23"/>
  <c r="V58" i="23" s="1"/>
  <c r="AD57" i="23"/>
  <c r="AE57" i="23" s="1"/>
  <c r="U57" i="23"/>
  <c r="V57" i="23" s="1"/>
  <c r="AG57" i="23"/>
  <c r="AH57" i="23" s="1"/>
  <c r="X57" i="23"/>
  <c r="Y57" i="23" s="1"/>
  <c r="V17" i="30" l="1"/>
  <c r="V18" i="30"/>
  <c r="V19" i="30"/>
  <c r="V20" i="30"/>
  <c r="V21" i="30"/>
  <c r="V22" i="30"/>
  <c r="V23" i="30"/>
  <c r="V24" i="30"/>
  <c r="V25" i="30"/>
  <c r="V26" i="30"/>
  <c r="V27" i="30"/>
  <c r="V28" i="30"/>
  <c r="V29" i="30"/>
  <c r="V30" i="30"/>
  <c r="V31" i="30"/>
  <c r="V32" i="30"/>
  <c r="V33" i="30"/>
  <c r="V34" i="30"/>
  <c r="V35" i="30"/>
  <c r="V36" i="30"/>
  <c r="V37" i="30"/>
  <c r="V38" i="30"/>
  <c r="V39" i="30"/>
  <c r="V40" i="30"/>
  <c r="V41" i="30"/>
  <c r="V42" i="30"/>
  <c r="V43" i="30"/>
  <c r="V44" i="30"/>
  <c r="V45" i="30"/>
  <c r="V46" i="30"/>
  <c r="V47" i="30"/>
  <c r="V48" i="30"/>
  <c r="V49" i="30"/>
  <c r="V50" i="30"/>
  <c r="V51" i="30"/>
  <c r="V52" i="30"/>
  <c r="V53" i="30"/>
  <c r="V54" i="30"/>
  <c r="V55" i="30"/>
  <c r="V56" i="30"/>
  <c r="V57" i="30"/>
  <c r="V58" i="30"/>
  <c r="V59" i="30"/>
  <c r="V60" i="30"/>
  <c r="V61" i="30"/>
  <c r="V62" i="30"/>
  <c r="V63" i="30"/>
  <c r="V64" i="30"/>
  <c r="V65" i="30"/>
  <c r="V66" i="30"/>
  <c r="V67" i="30"/>
  <c r="V68" i="30"/>
  <c r="V69" i="30"/>
  <c r="V70" i="30"/>
  <c r="V71" i="30"/>
  <c r="V72" i="30"/>
  <c r="V73" i="30"/>
  <c r="V74" i="30"/>
  <c r="V75" i="30"/>
  <c r="V76" i="30"/>
  <c r="V77" i="30"/>
  <c r="V78" i="30"/>
  <c r="V79" i="30"/>
  <c r="V80" i="30"/>
  <c r="V81" i="30"/>
  <c r="V82" i="30"/>
  <c r="V83" i="30"/>
  <c r="V84" i="30"/>
  <c r="V85" i="30"/>
  <c r="V86" i="30"/>
  <c r="V87" i="30"/>
  <c r="V88" i="30"/>
  <c r="V89" i="30"/>
  <c r="V90" i="30"/>
  <c r="V91" i="30"/>
  <c r="V92" i="30"/>
  <c r="V93" i="30"/>
  <c r="V94" i="30"/>
  <c r="V95" i="30"/>
  <c r="V96" i="30"/>
  <c r="V97" i="30"/>
  <c r="V98" i="30"/>
  <c r="V99" i="30"/>
  <c r="V100" i="30"/>
  <c r="V101" i="30"/>
  <c r="V102" i="30"/>
  <c r="V103" i="30"/>
  <c r="V104" i="30"/>
  <c r="V105" i="30"/>
  <c r="V106" i="30"/>
  <c r="V107" i="30"/>
  <c r="V108" i="30"/>
  <c r="V109" i="30"/>
  <c r="V110" i="30"/>
  <c r="V111" i="30"/>
  <c r="V112" i="30"/>
  <c r="V113" i="30"/>
  <c r="V114" i="30"/>
  <c r="V115" i="30"/>
  <c r="V116" i="30"/>
  <c r="V117" i="30"/>
  <c r="V118" i="30"/>
  <c r="V119" i="30"/>
  <c r="V120" i="30"/>
  <c r="V121" i="30"/>
  <c r="V122" i="30"/>
  <c r="V123" i="30"/>
  <c r="V124" i="30"/>
  <c r="V125" i="30"/>
  <c r="V126" i="30"/>
  <c r="V127" i="30"/>
  <c r="V128" i="30"/>
  <c r="V129" i="30"/>
  <c r="V130" i="30"/>
  <c r="V131" i="30"/>
  <c r="V132" i="30"/>
  <c r="V133" i="30"/>
  <c r="V134" i="30"/>
  <c r="V135" i="30"/>
  <c r="V136" i="30"/>
  <c r="V137" i="30"/>
  <c r="V138" i="30"/>
  <c r="V139" i="30"/>
  <c r="V140" i="30"/>
  <c r="V141" i="30"/>
  <c r="V142" i="30"/>
  <c r="V143" i="30"/>
  <c r="V144" i="30"/>
  <c r="V145" i="30"/>
  <c r="V146" i="30"/>
  <c r="V147" i="30"/>
  <c r="V148" i="30"/>
  <c r="V149" i="30"/>
  <c r="V150" i="30"/>
  <c r="V151" i="30"/>
  <c r="V152" i="30"/>
  <c r="V153" i="30"/>
  <c r="V154" i="30"/>
  <c r="V155" i="30"/>
  <c r="V156" i="30"/>
  <c r="V157" i="30"/>
  <c r="V158" i="30"/>
  <c r="V159" i="30"/>
  <c r="V160" i="30"/>
  <c r="V17" i="26"/>
  <c r="V18" i="26"/>
  <c r="V19" i="26"/>
  <c r="V20" i="26"/>
  <c r="V21" i="26"/>
  <c r="V22" i="26"/>
  <c r="V23" i="26"/>
  <c r="V24" i="26"/>
  <c r="V25" i="26"/>
  <c r="V26" i="26"/>
  <c r="V27" i="26"/>
  <c r="V28" i="26"/>
  <c r="V29" i="26"/>
  <c r="V30" i="26"/>
  <c r="V31" i="26"/>
  <c r="V32" i="26"/>
  <c r="V33" i="26"/>
  <c r="V34" i="26"/>
  <c r="V35" i="26"/>
  <c r="V36" i="26"/>
  <c r="V37" i="26"/>
  <c r="V38" i="26"/>
  <c r="V39" i="26"/>
  <c r="V40" i="26"/>
  <c r="V41" i="26"/>
  <c r="V42" i="26"/>
  <c r="V43" i="26"/>
  <c r="V44" i="26"/>
  <c r="V45" i="26"/>
  <c r="V46" i="26"/>
  <c r="V47" i="26"/>
  <c r="V48" i="26"/>
  <c r="V49" i="26"/>
  <c r="V50" i="26"/>
  <c r="V51" i="26"/>
  <c r="V52" i="26"/>
  <c r="V53" i="26"/>
  <c r="V54" i="26"/>
  <c r="V55" i="26"/>
  <c r="V56" i="26"/>
  <c r="V57" i="26"/>
  <c r="V58" i="26"/>
  <c r="V59" i="26"/>
  <c r="V60" i="26"/>
  <c r="V61" i="26"/>
  <c r="V62" i="26"/>
  <c r="V63" i="26"/>
  <c r="V64" i="26"/>
  <c r="V65" i="26"/>
  <c r="V66" i="26"/>
  <c r="V67" i="26"/>
  <c r="V68" i="26"/>
  <c r="V69" i="26"/>
  <c r="V70" i="26"/>
  <c r="V71" i="26"/>
  <c r="V72" i="26"/>
  <c r="V73" i="26"/>
  <c r="V74" i="26"/>
  <c r="V75" i="26"/>
  <c r="V76" i="26"/>
  <c r="V77" i="26"/>
  <c r="V78" i="26"/>
  <c r="V79" i="26"/>
  <c r="V80" i="26"/>
  <c r="V81" i="26"/>
  <c r="V82" i="26"/>
  <c r="V83" i="26"/>
  <c r="V84" i="26"/>
  <c r="V85" i="26"/>
  <c r="V86" i="26"/>
  <c r="V87" i="26"/>
  <c r="V88" i="26"/>
  <c r="V89" i="26"/>
  <c r="V90" i="26"/>
  <c r="V91" i="26"/>
  <c r="V92" i="26"/>
  <c r="V93" i="26"/>
  <c r="V94" i="26"/>
  <c r="V95" i="26"/>
  <c r="V96" i="26"/>
  <c r="V97" i="26"/>
  <c r="V98" i="26"/>
  <c r="V99" i="26"/>
  <c r="V100" i="26"/>
  <c r="V101" i="26"/>
  <c r="V102" i="26"/>
  <c r="V103" i="26"/>
  <c r="V104" i="26"/>
  <c r="V105" i="26"/>
  <c r="V106" i="26"/>
  <c r="V107" i="26"/>
  <c r="V108" i="26"/>
  <c r="V109" i="26"/>
  <c r="V110" i="26"/>
  <c r="V111" i="26"/>
  <c r="V112" i="26"/>
  <c r="V113" i="26"/>
  <c r="V114" i="26"/>
  <c r="V115" i="26"/>
  <c r="V116" i="26"/>
  <c r="V117" i="26"/>
  <c r="V118" i="26"/>
  <c r="V119" i="26"/>
  <c r="V120" i="26"/>
  <c r="V121" i="26"/>
  <c r="V122" i="26"/>
  <c r="V123" i="26"/>
  <c r="V124" i="26"/>
  <c r="V125" i="26"/>
  <c r="V126" i="26"/>
  <c r="V127" i="26"/>
  <c r="V128" i="26"/>
  <c r="V129" i="26"/>
  <c r="V130" i="26"/>
  <c r="V131" i="26"/>
  <c r="V132" i="26"/>
  <c r="V133" i="26"/>
  <c r="V134" i="26"/>
  <c r="V135" i="26"/>
  <c r="V136" i="26"/>
  <c r="V137" i="26"/>
  <c r="V138" i="26"/>
  <c r="V139" i="26"/>
  <c r="V140" i="26"/>
  <c r="V141" i="26"/>
  <c r="V142" i="26"/>
  <c r="V143" i="26"/>
  <c r="V144" i="26"/>
  <c r="V145" i="26"/>
  <c r="V146" i="26"/>
  <c r="V147" i="26"/>
  <c r="V148" i="26"/>
  <c r="V149" i="26"/>
  <c r="V150" i="26"/>
  <c r="V151" i="26"/>
  <c r="V152" i="26"/>
  <c r="V153" i="26"/>
  <c r="V154" i="26"/>
  <c r="V155" i="26"/>
  <c r="V156" i="26"/>
  <c r="V157" i="26"/>
  <c r="V158" i="26"/>
  <c r="V159" i="26"/>
  <c r="V160" i="26"/>
  <c r="U14" i="26"/>
  <c r="U17" i="30"/>
  <c r="U18" i="30"/>
  <c r="U19" i="30"/>
  <c r="U20" i="30"/>
  <c r="U21" i="30"/>
  <c r="U22" i="30"/>
  <c r="U23" i="30"/>
  <c r="U24" i="30"/>
  <c r="U25" i="30"/>
  <c r="U26" i="30"/>
  <c r="U27" i="30"/>
  <c r="U28" i="30"/>
  <c r="U29" i="30"/>
  <c r="U30" i="30"/>
  <c r="U31" i="30"/>
  <c r="U32" i="30"/>
  <c r="U33" i="30"/>
  <c r="U34" i="30"/>
  <c r="U35" i="30"/>
  <c r="U36" i="30"/>
  <c r="U37" i="30"/>
  <c r="U38" i="30"/>
  <c r="U39" i="30"/>
  <c r="U40" i="30"/>
  <c r="U41" i="30"/>
  <c r="U42" i="30"/>
  <c r="U43" i="30"/>
  <c r="U44" i="30"/>
  <c r="U45" i="30"/>
  <c r="U46" i="30"/>
  <c r="U47" i="30"/>
  <c r="U48" i="30"/>
  <c r="U49" i="30"/>
  <c r="U50" i="30"/>
  <c r="U51" i="30"/>
  <c r="U52" i="30"/>
  <c r="U53" i="30"/>
  <c r="U54" i="30"/>
  <c r="U55" i="30"/>
  <c r="U56" i="30"/>
  <c r="U57" i="30"/>
  <c r="U58" i="30"/>
  <c r="U59" i="30"/>
  <c r="U60" i="30"/>
  <c r="U61" i="30"/>
  <c r="U62" i="30"/>
  <c r="U63" i="30"/>
  <c r="U64" i="30"/>
  <c r="U65" i="30"/>
  <c r="U66" i="30"/>
  <c r="U67" i="30"/>
  <c r="U68" i="30"/>
  <c r="U69" i="30"/>
  <c r="U70" i="30"/>
  <c r="U71" i="30"/>
  <c r="U72" i="30"/>
  <c r="U73" i="30"/>
  <c r="U74" i="30"/>
  <c r="U75" i="30"/>
  <c r="U76" i="30"/>
  <c r="U77" i="30"/>
  <c r="U78" i="30"/>
  <c r="U79" i="30"/>
  <c r="U80" i="30"/>
  <c r="U81" i="30"/>
  <c r="U82" i="30"/>
  <c r="U83" i="30"/>
  <c r="U84" i="30"/>
  <c r="U85" i="30"/>
  <c r="U86" i="30"/>
  <c r="U87" i="30"/>
  <c r="U88" i="30"/>
  <c r="U89" i="30"/>
  <c r="U90" i="30"/>
  <c r="U91" i="30"/>
  <c r="U92" i="30"/>
  <c r="U93" i="30"/>
  <c r="U94" i="30"/>
  <c r="U95" i="30"/>
  <c r="U96" i="30"/>
  <c r="U97" i="30"/>
  <c r="U98" i="30"/>
  <c r="U99" i="30"/>
  <c r="U100" i="30"/>
  <c r="U101" i="30"/>
  <c r="U102" i="30"/>
  <c r="U103" i="30"/>
  <c r="U104" i="30"/>
  <c r="U105" i="30"/>
  <c r="U106" i="30"/>
  <c r="U107" i="30"/>
  <c r="U108" i="30"/>
  <c r="U109" i="30"/>
  <c r="U110" i="30"/>
  <c r="U111" i="30"/>
  <c r="U112" i="30"/>
  <c r="U113" i="30"/>
  <c r="U114" i="30"/>
  <c r="U115" i="30"/>
  <c r="U116" i="30"/>
  <c r="U117" i="30"/>
  <c r="U118" i="30"/>
  <c r="U119" i="30"/>
  <c r="U120" i="30"/>
  <c r="U121" i="30"/>
  <c r="U122" i="30"/>
  <c r="U123" i="30"/>
  <c r="U124" i="30"/>
  <c r="U125" i="30"/>
  <c r="U126" i="30"/>
  <c r="U127" i="30"/>
  <c r="U128" i="30"/>
  <c r="U129" i="30"/>
  <c r="U130" i="30"/>
  <c r="U131" i="30"/>
  <c r="U132" i="30"/>
  <c r="U133" i="30"/>
  <c r="U134" i="30"/>
  <c r="U135" i="30"/>
  <c r="U136" i="30"/>
  <c r="U137" i="30"/>
  <c r="U138" i="30"/>
  <c r="U139" i="30"/>
  <c r="U140" i="30"/>
  <c r="U141" i="30"/>
  <c r="U142" i="30"/>
  <c r="U143" i="30"/>
  <c r="U144" i="30"/>
  <c r="U145" i="30"/>
  <c r="U146" i="30"/>
  <c r="U147" i="30"/>
  <c r="U148" i="30"/>
  <c r="U149" i="30"/>
  <c r="U150" i="30"/>
  <c r="U151" i="30"/>
  <c r="U152" i="30"/>
  <c r="U153" i="30"/>
  <c r="U154" i="30"/>
  <c r="U155" i="30"/>
  <c r="U156" i="30"/>
  <c r="U157" i="30"/>
  <c r="U158" i="30"/>
  <c r="U159" i="30"/>
  <c r="U160" i="30"/>
  <c r="U15" i="26"/>
  <c r="U16" i="26"/>
  <c r="U17" i="26"/>
  <c r="U18" i="26"/>
  <c r="U19" i="26"/>
  <c r="U20" i="26"/>
  <c r="U21" i="26"/>
  <c r="U22" i="26"/>
  <c r="U23" i="26"/>
  <c r="U24" i="26"/>
  <c r="U25" i="26"/>
  <c r="U26" i="26"/>
  <c r="U27" i="26"/>
  <c r="U28" i="26"/>
  <c r="U29" i="26"/>
  <c r="U30" i="26"/>
  <c r="U31" i="26"/>
  <c r="U32" i="26"/>
  <c r="U33" i="26"/>
  <c r="U34" i="26"/>
  <c r="U35" i="26"/>
  <c r="U36" i="26"/>
  <c r="U37" i="26"/>
  <c r="U38" i="26"/>
  <c r="U39" i="26"/>
  <c r="U40" i="26"/>
  <c r="U41" i="26"/>
  <c r="U42" i="26"/>
  <c r="U43" i="26"/>
  <c r="U44" i="26"/>
  <c r="U45" i="26"/>
  <c r="U46" i="26"/>
  <c r="U47" i="26"/>
  <c r="U48" i="26"/>
  <c r="U49" i="26"/>
  <c r="U50" i="26"/>
  <c r="U51" i="26"/>
  <c r="U52" i="26"/>
  <c r="U53" i="26"/>
  <c r="U54" i="26"/>
  <c r="U55" i="26"/>
  <c r="U56" i="26"/>
  <c r="U57" i="26"/>
  <c r="U58" i="26"/>
  <c r="U59" i="26"/>
  <c r="U60" i="26"/>
  <c r="U61" i="26"/>
  <c r="U62" i="26"/>
  <c r="U63" i="26"/>
  <c r="U64" i="26"/>
  <c r="U65" i="26"/>
  <c r="U66" i="26"/>
  <c r="U67" i="26"/>
  <c r="U68" i="26"/>
  <c r="U69" i="26"/>
  <c r="U70" i="26"/>
  <c r="U71" i="26"/>
  <c r="U72" i="26"/>
  <c r="U73" i="26"/>
  <c r="U74" i="26"/>
  <c r="U75" i="26"/>
  <c r="U76" i="26"/>
  <c r="U77" i="26"/>
  <c r="U78" i="26"/>
  <c r="U79" i="26"/>
  <c r="U80" i="26"/>
  <c r="U81" i="26"/>
  <c r="U82" i="26"/>
  <c r="U83" i="26"/>
  <c r="U84" i="26"/>
  <c r="U85" i="26"/>
  <c r="U86" i="26"/>
  <c r="U87" i="26"/>
  <c r="U88" i="26"/>
  <c r="U89" i="26"/>
  <c r="U90" i="26"/>
  <c r="U91" i="26"/>
  <c r="U92" i="26"/>
  <c r="U93" i="26"/>
  <c r="U94" i="26"/>
  <c r="U95" i="26"/>
  <c r="U96" i="26"/>
  <c r="U97" i="26"/>
  <c r="U98" i="26"/>
  <c r="U99" i="26"/>
  <c r="U100" i="26"/>
  <c r="U101" i="26"/>
  <c r="U102" i="26"/>
  <c r="U103" i="26"/>
  <c r="U104" i="26"/>
  <c r="U105" i="26"/>
  <c r="U106" i="26"/>
  <c r="U107" i="26"/>
  <c r="U108" i="26"/>
  <c r="U109" i="26"/>
  <c r="U110" i="26"/>
  <c r="U111" i="26"/>
  <c r="U112" i="26"/>
  <c r="U113" i="26"/>
  <c r="U114" i="26"/>
  <c r="U115" i="26"/>
  <c r="U116" i="26"/>
  <c r="U117" i="26"/>
  <c r="U118" i="26"/>
  <c r="U119" i="26"/>
  <c r="U120" i="26"/>
  <c r="U121" i="26"/>
  <c r="U122" i="26"/>
  <c r="U123" i="26"/>
  <c r="U124" i="26"/>
  <c r="U125" i="26"/>
  <c r="U126" i="26"/>
  <c r="U127" i="26"/>
  <c r="U128" i="26"/>
  <c r="U129" i="26"/>
  <c r="U130" i="26"/>
  <c r="U131" i="26"/>
  <c r="U132" i="26"/>
  <c r="U133" i="26"/>
  <c r="U134" i="26"/>
  <c r="U135" i="26"/>
  <c r="U136" i="26"/>
  <c r="U137" i="26"/>
  <c r="U138" i="26"/>
  <c r="U139" i="26"/>
  <c r="U140" i="26"/>
  <c r="U141" i="26"/>
  <c r="U142" i="26"/>
  <c r="U143" i="26"/>
  <c r="U144" i="26"/>
  <c r="U145" i="26"/>
  <c r="U146" i="26"/>
  <c r="U147" i="26"/>
  <c r="U148" i="26"/>
  <c r="U149" i="26"/>
  <c r="U150" i="26"/>
  <c r="U151" i="26"/>
  <c r="U152" i="26"/>
  <c r="U153" i="26"/>
  <c r="U154" i="26"/>
  <c r="U155" i="26"/>
  <c r="U156" i="26"/>
  <c r="U157" i="26"/>
  <c r="U158" i="26"/>
  <c r="U159" i="26"/>
  <c r="U160" i="26"/>
  <c r="U12" i="3"/>
  <c r="H106" i="2" l="1"/>
  <c r="H104" i="2"/>
  <c r="E102" i="2"/>
  <c r="H102" i="2" s="1"/>
  <c r="E101" i="2"/>
  <c r="H101" i="2" s="1"/>
  <c r="E87" i="2"/>
  <c r="H87" i="2" s="1"/>
  <c r="E86" i="2"/>
  <c r="H86" i="2" s="1"/>
  <c r="H89" i="2"/>
  <c r="H91" i="2"/>
  <c r="E51" i="23"/>
  <c r="E52" i="23" s="1"/>
  <c r="E53" i="23" s="1"/>
  <c r="E54" i="23" s="1"/>
  <c r="E55" i="23" s="1"/>
  <c r="E56" i="23" s="1"/>
  <c r="E57" i="23" s="1"/>
  <c r="E58" i="23" s="1"/>
  <c r="E59" i="23" s="1"/>
  <c r="E60" i="23" s="1"/>
  <c r="E61" i="23" s="1"/>
  <c r="E62" i="23" s="1"/>
  <c r="E63" i="23" s="1"/>
  <c r="E64" i="23" s="1"/>
  <c r="E65" i="23" s="1"/>
  <c r="E66" i="23" s="1"/>
  <c r="E67" i="23" s="1"/>
  <c r="E68" i="23" s="1"/>
  <c r="E69" i="23" s="1"/>
  <c r="E70" i="23" s="1"/>
  <c r="E71" i="23" s="1"/>
  <c r="E72" i="23" s="1"/>
  <c r="E73" i="23" s="1"/>
  <c r="E74" i="23" s="1"/>
  <c r="E75" i="23" s="1"/>
  <c r="E76" i="23" s="1"/>
  <c r="E77" i="23" s="1"/>
  <c r="E78" i="23" s="1"/>
  <c r="E79" i="23" s="1"/>
  <c r="E80" i="23" s="1"/>
  <c r="E21" i="23"/>
  <c r="E22" i="23"/>
  <c r="E23" i="23"/>
  <c r="E24" i="23"/>
  <c r="E25" i="23"/>
  <c r="E88" i="2" s="1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I15" i="30"/>
  <c r="I16" i="30"/>
  <c r="I17" i="30"/>
  <c r="I18" i="30"/>
  <c r="I19" i="30"/>
  <c r="I20" i="30"/>
  <c r="I21" i="30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36" i="30"/>
  <c r="I37" i="30"/>
  <c r="I38" i="30"/>
  <c r="I39" i="30"/>
  <c r="I40" i="30"/>
  <c r="I41" i="30"/>
  <c r="I42" i="30"/>
  <c r="I43" i="30"/>
  <c r="I44" i="30"/>
  <c r="I45" i="30"/>
  <c r="I46" i="30"/>
  <c r="I47" i="30"/>
  <c r="I48" i="30"/>
  <c r="I49" i="30"/>
  <c r="I50" i="30"/>
  <c r="I51" i="30"/>
  <c r="I52" i="30"/>
  <c r="I53" i="30"/>
  <c r="I54" i="30"/>
  <c r="I55" i="30"/>
  <c r="I56" i="30"/>
  <c r="I57" i="30"/>
  <c r="I58" i="30"/>
  <c r="I59" i="30"/>
  <c r="I60" i="30"/>
  <c r="I61" i="30"/>
  <c r="I62" i="30"/>
  <c r="I63" i="30"/>
  <c r="I64" i="30"/>
  <c r="I65" i="30"/>
  <c r="I66" i="30"/>
  <c r="I67" i="30"/>
  <c r="I68" i="30"/>
  <c r="I69" i="30"/>
  <c r="I70" i="30"/>
  <c r="I71" i="30"/>
  <c r="I72" i="30"/>
  <c r="I73" i="30"/>
  <c r="I74" i="30"/>
  <c r="I75" i="30"/>
  <c r="I76" i="30"/>
  <c r="I77" i="30"/>
  <c r="I78" i="30"/>
  <c r="I79" i="30"/>
  <c r="I80" i="30"/>
  <c r="I81" i="30"/>
  <c r="I82" i="30"/>
  <c r="I83" i="30"/>
  <c r="I84" i="30"/>
  <c r="I85" i="30"/>
  <c r="I86" i="30"/>
  <c r="I87" i="30"/>
  <c r="I88" i="30"/>
  <c r="I89" i="30"/>
  <c r="I90" i="30"/>
  <c r="I91" i="30"/>
  <c r="I92" i="30"/>
  <c r="I93" i="30"/>
  <c r="I94" i="30"/>
  <c r="I95" i="30"/>
  <c r="I96" i="30"/>
  <c r="I97" i="30"/>
  <c r="I98" i="30"/>
  <c r="I99" i="30"/>
  <c r="I100" i="30"/>
  <c r="I101" i="30"/>
  <c r="I102" i="30"/>
  <c r="I103" i="30"/>
  <c r="I104" i="30"/>
  <c r="I105" i="30"/>
  <c r="I106" i="30"/>
  <c r="I107" i="30"/>
  <c r="I108" i="30"/>
  <c r="I109" i="30"/>
  <c r="I110" i="30"/>
  <c r="I111" i="30"/>
  <c r="I112" i="30"/>
  <c r="I113" i="30"/>
  <c r="I114" i="30"/>
  <c r="I115" i="30"/>
  <c r="I116" i="30"/>
  <c r="I117" i="30"/>
  <c r="I118" i="30"/>
  <c r="I119" i="30"/>
  <c r="I120" i="30"/>
  <c r="I121" i="30"/>
  <c r="I122" i="30"/>
  <c r="I123" i="30"/>
  <c r="I124" i="30"/>
  <c r="I125" i="30"/>
  <c r="I126" i="30"/>
  <c r="I127" i="30"/>
  <c r="I128" i="30"/>
  <c r="I129" i="30"/>
  <c r="I130" i="30"/>
  <c r="I131" i="30"/>
  <c r="I132" i="30"/>
  <c r="I133" i="30"/>
  <c r="I134" i="30"/>
  <c r="I135" i="30"/>
  <c r="I136" i="30"/>
  <c r="I137" i="30"/>
  <c r="I138" i="30"/>
  <c r="I139" i="30"/>
  <c r="I140" i="30"/>
  <c r="I141" i="30"/>
  <c r="I142" i="30"/>
  <c r="I143" i="30"/>
  <c r="I144" i="30"/>
  <c r="I145" i="30"/>
  <c r="I146" i="30"/>
  <c r="I147" i="30"/>
  <c r="I148" i="30"/>
  <c r="I149" i="30"/>
  <c r="I150" i="30"/>
  <c r="I151" i="30"/>
  <c r="I152" i="30"/>
  <c r="I153" i="30"/>
  <c r="I154" i="30"/>
  <c r="I155" i="30"/>
  <c r="I156" i="30"/>
  <c r="I157" i="30"/>
  <c r="I158" i="30"/>
  <c r="I159" i="30"/>
  <c r="I160" i="30"/>
  <c r="I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H51" i="30"/>
  <c r="H52" i="30"/>
  <c r="H53" i="30"/>
  <c r="H54" i="30"/>
  <c r="H55" i="30"/>
  <c r="H56" i="30"/>
  <c r="H57" i="30"/>
  <c r="H58" i="30"/>
  <c r="H59" i="30"/>
  <c r="H60" i="30"/>
  <c r="H61" i="30"/>
  <c r="H62" i="30"/>
  <c r="H63" i="30"/>
  <c r="H64" i="30"/>
  <c r="H65" i="30"/>
  <c r="H66" i="30"/>
  <c r="H67" i="30"/>
  <c r="H68" i="30"/>
  <c r="H69" i="30"/>
  <c r="H70" i="30"/>
  <c r="H71" i="30"/>
  <c r="H72" i="30"/>
  <c r="H73" i="30"/>
  <c r="H74" i="30"/>
  <c r="H75" i="30"/>
  <c r="H76" i="30"/>
  <c r="H77" i="30"/>
  <c r="H78" i="30"/>
  <c r="H79" i="30"/>
  <c r="H80" i="30"/>
  <c r="H81" i="30"/>
  <c r="H82" i="30"/>
  <c r="H83" i="30"/>
  <c r="H84" i="30"/>
  <c r="H85" i="30"/>
  <c r="H86" i="30"/>
  <c r="H87" i="30"/>
  <c r="H88" i="30"/>
  <c r="H89" i="30"/>
  <c r="H90" i="30"/>
  <c r="H91" i="30"/>
  <c r="H92" i="30"/>
  <c r="H93" i="30"/>
  <c r="H94" i="30"/>
  <c r="H95" i="30"/>
  <c r="H96" i="30"/>
  <c r="H97" i="30"/>
  <c r="H98" i="30"/>
  <c r="H99" i="30"/>
  <c r="H100" i="30"/>
  <c r="H101" i="30"/>
  <c r="H102" i="30"/>
  <c r="H103" i="30"/>
  <c r="H104" i="30"/>
  <c r="H105" i="30"/>
  <c r="H106" i="30"/>
  <c r="H107" i="30"/>
  <c r="H108" i="30"/>
  <c r="H109" i="30"/>
  <c r="H110" i="30"/>
  <c r="H111" i="30"/>
  <c r="H112" i="30"/>
  <c r="H113" i="30"/>
  <c r="H114" i="30"/>
  <c r="H115" i="30"/>
  <c r="H116" i="30"/>
  <c r="H117" i="30"/>
  <c r="H118" i="30"/>
  <c r="H119" i="30"/>
  <c r="H120" i="30"/>
  <c r="H121" i="30"/>
  <c r="H122" i="30"/>
  <c r="H123" i="30"/>
  <c r="H124" i="30"/>
  <c r="H125" i="30"/>
  <c r="H126" i="30"/>
  <c r="H127" i="30"/>
  <c r="H128" i="30"/>
  <c r="H129" i="30"/>
  <c r="H130" i="30"/>
  <c r="H131" i="30"/>
  <c r="H132" i="30"/>
  <c r="H133" i="30"/>
  <c r="H134" i="30"/>
  <c r="H135" i="30"/>
  <c r="H136" i="30"/>
  <c r="H137" i="30"/>
  <c r="H138" i="30"/>
  <c r="H139" i="30"/>
  <c r="H140" i="30"/>
  <c r="H141" i="30"/>
  <c r="H142" i="30"/>
  <c r="H143" i="30"/>
  <c r="H144" i="30"/>
  <c r="H145" i="30"/>
  <c r="H146" i="30"/>
  <c r="H147" i="30"/>
  <c r="H148" i="30"/>
  <c r="H149" i="30"/>
  <c r="H150" i="30"/>
  <c r="H151" i="30"/>
  <c r="H152" i="30"/>
  <c r="H153" i="30"/>
  <c r="H154" i="30"/>
  <c r="H155" i="30"/>
  <c r="H156" i="30"/>
  <c r="H157" i="30"/>
  <c r="H158" i="30"/>
  <c r="H159" i="30"/>
  <c r="H160" i="30"/>
  <c r="H14" i="30"/>
  <c r="G12" i="3"/>
  <c r="G15" i="30"/>
  <c r="G17" i="30"/>
  <c r="G18" i="30"/>
  <c r="G19" i="30"/>
  <c r="G20" i="30"/>
  <c r="G21" i="30"/>
  <c r="G22" i="30"/>
  <c r="G23" i="30"/>
  <c r="G24" i="30"/>
  <c r="G25" i="30"/>
  <c r="G26" i="30"/>
  <c r="G27" i="30"/>
  <c r="G28" i="30"/>
  <c r="G29" i="30"/>
  <c r="G30" i="30"/>
  <c r="G31" i="30"/>
  <c r="G32" i="30"/>
  <c r="G33" i="30"/>
  <c r="G34" i="30"/>
  <c r="G35" i="30"/>
  <c r="G36" i="30"/>
  <c r="G37" i="30"/>
  <c r="G38" i="30"/>
  <c r="G39" i="30"/>
  <c r="G40" i="30"/>
  <c r="G41" i="30"/>
  <c r="G42" i="30"/>
  <c r="G43" i="30"/>
  <c r="G44" i="30"/>
  <c r="G45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58" i="30"/>
  <c r="G59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G72" i="30"/>
  <c r="G73" i="30"/>
  <c r="G74" i="30"/>
  <c r="G75" i="30"/>
  <c r="G76" i="30"/>
  <c r="G77" i="30"/>
  <c r="G78" i="30"/>
  <c r="G79" i="30"/>
  <c r="G80" i="30"/>
  <c r="G81" i="30"/>
  <c r="G82" i="30"/>
  <c r="G83" i="30"/>
  <c r="G84" i="30"/>
  <c r="G85" i="30"/>
  <c r="G86" i="30"/>
  <c r="G87" i="30"/>
  <c r="G88" i="30"/>
  <c r="G89" i="30"/>
  <c r="G90" i="30"/>
  <c r="G91" i="30"/>
  <c r="G92" i="30"/>
  <c r="G93" i="30"/>
  <c r="G94" i="30"/>
  <c r="G95" i="30"/>
  <c r="G96" i="30"/>
  <c r="G97" i="30"/>
  <c r="G98" i="30"/>
  <c r="G99" i="30"/>
  <c r="G100" i="30"/>
  <c r="G101" i="30"/>
  <c r="G102" i="30"/>
  <c r="G103" i="30"/>
  <c r="G104" i="30"/>
  <c r="G105" i="30"/>
  <c r="G106" i="30"/>
  <c r="G107" i="30"/>
  <c r="G108" i="30"/>
  <c r="G109" i="30"/>
  <c r="G110" i="30"/>
  <c r="G111" i="30"/>
  <c r="G112" i="30"/>
  <c r="G113" i="30"/>
  <c r="G114" i="30"/>
  <c r="G115" i="30"/>
  <c r="G116" i="30"/>
  <c r="G117" i="30"/>
  <c r="G118" i="30"/>
  <c r="G119" i="30"/>
  <c r="G120" i="30"/>
  <c r="G121" i="30"/>
  <c r="G122" i="30"/>
  <c r="G123" i="30"/>
  <c r="G124" i="30"/>
  <c r="G125" i="30"/>
  <c r="G126" i="30"/>
  <c r="G127" i="30"/>
  <c r="G128" i="30"/>
  <c r="G129" i="30"/>
  <c r="G130" i="30"/>
  <c r="G131" i="30"/>
  <c r="G132" i="30"/>
  <c r="G133" i="30"/>
  <c r="G134" i="30"/>
  <c r="G135" i="30"/>
  <c r="G136" i="30"/>
  <c r="G137" i="30"/>
  <c r="G138" i="30"/>
  <c r="G139" i="30"/>
  <c r="G140" i="30"/>
  <c r="G141" i="30"/>
  <c r="G142" i="30"/>
  <c r="G143" i="30"/>
  <c r="G144" i="30"/>
  <c r="G145" i="30"/>
  <c r="G146" i="30"/>
  <c r="G147" i="30"/>
  <c r="G148" i="30"/>
  <c r="G149" i="30"/>
  <c r="G150" i="30"/>
  <c r="G151" i="30"/>
  <c r="G152" i="30"/>
  <c r="G153" i="30"/>
  <c r="G154" i="30"/>
  <c r="G155" i="30"/>
  <c r="G156" i="30"/>
  <c r="G157" i="30"/>
  <c r="G158" i="30"/>
  <c r="G159" i="30"/>
  <c r="G160" i="30"/>
  <c r="G14" i="30"/>
  <c r="H88" i="2" l="1"/>
  <c r="E90" i="2"/>
  <c r="H90" i="2" s="1"/>
  <c r="W16" i="30"/>
  <c r="I15" i="28"/>
  <c r="I16" i="28"/>
  <c r="I17" i="28"/>
  <c r="I18" i="28"/>
  <c r="I19" i="28"/>
  <c r="I20" i="28"/>
  <c r="I21" i="28"/>
  <c r="I22" i="28"/>
  <c r="I23" i="28"/>
  <c r="I24" i="28"/>
  <c r="I25" i="28"/>
  <c r="I26" i="28"/>
  <c r="W15" i="30"/>
  <c r="I12" i="28"/>
  <c r="J12" i="28" s="1"/>
  <c r="W14" i="30" s="1"/>
  <c r="F15" i="26"/>
  <c r="AA15" i="28"/>
  <c r="AA16" i="28"/>
  <c r="AA17" i="28"/>
  <c r="AA18" i="28"/>
  <c r="AA19" i="28"/>
  <c r="AA20" i="28"/>
  <c r="AA21" i="28"/>
  <c r="AA22" i="28"/>
  <c r="AA23" i="28"/>
  <c r="AA24" i="28"/>
  <c r="AA25" i="28"/>
  <c r="AA26" i="28"/>
  <c r="AA27" i="28"/>
  <c r="AA28" i="28"/>
  <c r="AA29" i="28"/>
  <c r="AA30" i="28"/>
  <c r="AA31" i="28"/>
  <c r="AA32" i="28"/>
  <c r="AA33" i="28"/>
  <c r="AA34" i="28"/>
  <c r="AA35" i="28"/>
  <c r="AA36" i="28"/>
  <c r="AA37" i="28"/>
  <c r="AA38" i="28"/>
  <c r="AA39" i="28"/>
  <c r="AA40" i="28"/>
  <c r="AA41" i="28"/>
  <c r="AA42" i="28"/>
  <c r="AA43" i="28"/>
  <c r="AA44" i="28"/>
  <c r="AA45" i="28"/>
  <c r="AA46" i="28"/>
  <c r="AA47" i="28"/>
  <c r="AA48" i="28"/>
  <c r="AA49" i="28"/>
  <c r="AA50" i="28"/>
  <c r="AA51" i="28"/>
  <c r="AA52" i="28"/>
  <c r="AA53" i="28"/>
  <c r="AA54" i="28"/>
  <c r="AA55" i="28"/>
  <c r="AA56" i="28"/>
  <c r="AA57" i="28"/>
  <c r="AA58" i="28"/>
  <c r="AA59" i="28"/>
  <c r="AA60" i="28"/>
  <c r="AA61" i="28"/>
  <c r="AA62" i="28"/>
  <c r="AA63" i="28"/>
  <c r="AA64" i="28"/>
  <c r="AA65" i="28"/>
  <c r="AA66" i="28"/>
  <c r="AA67" i="28"/>
  <c r="AA68" i="28"/>
  <c r="AA69" i="28"/>
  <c r="AA70" i="28"/>
  <c r="AA71" i="28"/>
  <c r="AA72" i="28"/>
  <c r="AA73" i="28"/>
  <c r="AA74" i="28"/>
  <c r="AA75" i="28"/>
  <c r="AA76" i="28"/>
  <c r="AA77" i="28"/>
  <c r="AA78" i="28"/>
  <c r="AA79" i="28"/>
  <c r="AA80" i="28"/>
  <c r="AA81" i="28"/>
  <c r="AA82" i="28"/>
  <c r="AA83" i="28"/>
  <c r="AA84" i="28"/>
  <c r="AA85" i="28"/>
  <c r="AA86" i="28"/>
  <c r="AA87" i="28"/>
  <c r="AA88" i="28"/>
  <c r="AA89" i="28"/>
  <c r="AA90" i="28"/>
  <c r="AA91" i="28"/>
  <c r="AA92" i="28"/>
  <c r="AA93" i="28"/>
  <c r="AA94" i="28"/>
  <c r="AA95" i="28"/>
  <c r="AA96" i="28"/>
  <c r="AA97" i="28"/>
  <c r="AA98" i="28"/>
  <c r="AA99" i="28"/>
  <c r="AA100" i="28"/>
  <c r="AA101" i="28"/>
  <c r="AA102" i="28"/>
  <c r="AA103" i="28"/>
  <c r="AA104" i="28"/>
  <c r="AA105" i="28"/>
  <c r="AA106" i="28"/>
  <c r="AA107" i="28"/>
  <c r="AA108" i="28"/>
  <c r="AA109" i="28"/>
  <c r="AA110" i="28"/>
  <c r="AA111" i="28"/>
  <c r="AA112" i="28"/>
  <c r="AA113" i="28"/>
  <c r="AA114" i="28"/>
  <c r="AA115" i="28"/>
  <c r="AA116" i="28"/>
  <c r="AA117" i="28"/>
  <c r="AA118" i="28"/>
  <c r="AA119" i="28"/>
  <c r="AA120" i="28"/>
  <c r="AA121" i="28"/>
  <c r="AA122" i="28"/>
  <c r="AA123" i="28"/>
  <c r="AA124" i="28"/>
  <c r="AA125" i="28"/>
  <c r="AA126" i="28"/>
  <c r="AA127" i="28"/>
  <c r="AA128" i="28"/>
  <c r="AA129" i="28"/>
  <c r="AA130" i="28"/>
  <c r="AA131" i="28"/>
  <c r="AA132" i="28"/>
  <c r="AA133" i="28"/>
  <c r="AA134" i="28"/>
  <c r="AA135" i="28"/>
  <c r="AA136" i="28"/>
  <c r="AA137" i="28"/>
  <c r="AA138" i="28"/>
  <c r="AA139" i="28"/>
  <c r="AA140" i="28"/>
  <c r="AA141" i="28"/>
  <c r="AA142" i="28"/>
  <c r="AA143" i="28"/>
  <c r="AA144" i="28"/>
  <c r="AA145" i="28"/>
  <c r="AA146" i="28"/>
  <c r="AA147" i="28"/>
  <c r="AA148" i="28"/>
  <c r="AA149" i="28"/>
  <c r="AA150" i="28"/>
  <c r="AA151" i="28"/>
  <c r="AA152" i="28"/>
  <c r="AA153" i="28"/>
  <c r="AA154" i="28"/>
  <c r="AA155" i="28"/>
  <c r="AA156" i="28"/>
  <c r="AA157" i="28"/>
  <c r="AA158" i="28"/>
  <c r="X15" i="28"/>
  <c r="Y15" i="28"/>
  <c r="X16" i="28"/>
  <c r="Y16" i="28"/>
  <c r="X17" i="28"/>
  <c r="Y17" i="28"/>
  <c r="X18" i="28"/>
  <c r="Y18" i="28"/>
  <c r="X19" i="28"/>
  <c r="Y19" i="28"/>
  <c r="X20" i="28"/>
  <c r="Y20" i="28"/>
  <c r="X21" i="28"/>
  <c r="Y21" i="28"/>
  <c r="X22" i="28"/>
  <c r="Y22" i="28"/>
  <c r="X23" i="28"/>
  <c r="Y23" i="28"/>
  <c r="X24" i="28"/>
  <c r="Y24" i="28"/>
  <c r="X25" i="28"/>
  <c r="Y25" i="28"/>
  <c r="X26" i="28"/>
  <c r="Y26" i="28"/>
  <c r="X27" i="28"/>
  <c r="Y27" i="28"/>
  <c r="X28" i="28"/>
  <c r="Y28" i="28"/>
  <c r="X29" i="28"/>
  <c r="Y29" i="28"/>
  <c r="X30" i="28"/>
  <c r="Y30" i="28"/>
  <c r="X31" i="28"/>
  <c r="Y31" i="28"/>
  <c r="X32" i="28"/>
  <c r="Y32" i="28"/>
  <c r="X33" i="28"/>
  <c r="Y33" i="28"/>
  <c r="X34" i="28"/>
  <c r="Y34" i="28"/>
  <c r="X35" i="28"/>
  <c r="Y35" i="28"/>
  <c r="X36" i="28"/>
  <c r="Y36" i="28"/>
  <c r="X37" i="28"/>
  <c r="Y37" i="28"/>
  <c r="X38" i="28"/>
  <c r="Y38" i="28"/>
  <c r="X39" i="28"/>
  <c r="Y39" i="28"/>
  <c r="X40" i="28"/>
  <c r="Y40" i="28"/>
  <c r="X41" i="28"/>
  <c r="Y41" i="28"/>
  <c r="X42" i="28"/>
  <c r="Y42" i="28"/>
  <c r="X43" i="28"/>
  <c r="Y43" i="28"/>
  <c r="X44" i="28"/>
  <c r="Y44" i="28"/>
  <c r="X45" i="28"/>
  <c r="Y45" i="28"/>
  <c r="X46" i="28"/>
  <c r="Y46" i="28"/>
  <c r="X47" i="28"/>
  <c r="Y47" i="28"/>
  <c r="X48" i="28"/>
  <c r="Y48" i="28"/>
  <c r="X49" i="28"/>
  <c r="Y49" i="28"/>
  <c r="X50" i="28"/>
  <c r="Y50" i="28"/>
  <c r="X51" i="28"/>
  <c r="Y51" i="28"/>
  <c r="X52" i="28"/>
  <c r="Y52" i="28"/>
  <c r="X53" i="28"/>
  <c r="Y53" i="28"/>
  <c r="X54" i="28"/>
  <c r="Y54" i="28"/>
  <c r="X55" i="28"/>
  <c r="Y55" i="28"/>
  <c r="X56" i="28"/>
  <c r="Y56" i="28"/>
  <c r="X57" i="28"/>
  <c r="Y57" i="28"/>
  <c r="X58" i="28"/>
  <c r="Y58" i="28"/>
  <c r="X59" i="28"/>
  <c r="Y59" i="28"/>
  <c r="X60" i="28"/>
  <c r="Y60" i="28"/>
  <c r="X61" i="28"/>
  <c r="Y61" i="28"/>
  <c r="X62" i="28"/>
  <c r="Y62" i="28"/>
  <c r="X63" i="28"/>
  <c r="Y63" i="28"/>
  <c r="X64" i="28"/>
  <c r="Y64" i="28"/>
  <c r="X65" i="28"/>
  <c r="Y65" i="28"/>
  <c r="X66" i="28"/>
  <c r="Y66" i="28"/>
  <c r="X67" i="28"/>
  <c r="Y67" i="28"/>
  <c r="X68" i="28"/>
  <c r="Y68" i="28"/>
  <c r="X69" i="28"/>
  <c r="Y69" i="28"/>
  <c r="X70" i="28"/>
  <c r="Y70" i="28"/>
  <c r="X71" i="28"/>
  <c r="Y71" i="28"/>
  <c r="X72" i="28"/>
  <c r="Y72" i="28"/>
  <c r="X73" i="28"/>
  <c r="Y73" i="28"/>
  <c r="X74" i="28"/>
  <c r="Y74" i="28"/>
  <c r="X75" i="28"/>
  <c r="Y75" i="28"/>
  <c r="X76" i="28"/>
  <c r="Y76" i="28"/>
  <c r="X77" i="28"/>
  <c r="Y77" i="28"/>
  <c r="X78" i="28"/>
  <c r="Y78" i="28"/>
  <c r="X79" i="28"/>
  <c r="Y79" i="28"/>
  <c r="X80" i="28"/>
  <c r="Y80" i="28"/>
  <c r="X81" i="28"/>
  <c r="Y81" i="28"/>
  <c r="X82" i="28"/>
  <c r="Y82" i="28"/>
  <c r="X83" i="28"/>
  <c r="Y83" i="28"/>
  <c r="X84" i="28"/>
  <c r="Y84" i="28"/>
  <c r="X85" i="28"/>
  <c r="Y85" i="28"/>
  <c r="X86" i="28"/>
  <c r="Y86" i="28"/>
  <c r="X87" i="28"/>
  <c r="Y87" i="28"/>
  <c r="X88" i="28"/>
  <c r="Y88" i="28"/>
  <c r="X89" i="28"/>
  <c r="Y89" i="28"/>
  <c r="X90" i="28"/>
  <c r="Y90" i="28"/>
  <c r="X91" i="28"/>
  <c r="Y91" i="28"/>
  <c r="X92" i="28"/>
  <c r="Y92" i="28"/>
  <c r="X93" i="28"/>
  <c r="Y93" i="28"/>
  <c r="X94" i="28"/>
  <c r="Y94" i="28"/>
  <c r="X95" i="28"/>
  <c r="Y95" i="28"/>
  <c r="X96" i="28"/>
  <c r="Y96" i="28"/>
  <c r="X97" i="28"/>
  <c r="Y97" i="28"/>
  <c r="X98" i="28"/>
  <c r="Y98" i="28"/>
  <c r="X99" i="28"/>
  <c r="Y99" i="28"/>
  <c r="X100" i="28"/>
  <c r="Y100" i="28"/>
  <c r="X101" i="28"/>
  <c r="Y101" i="28"/>
  <c r="X102" i="28"/>
  <c r="Y102" i="28"/>
  <c r="X103" i="28"/>
  <c r="Y103" i="28"/>
  <c r="X104" i="28"/>
  <c r="Y104" i="28"/>
  <c r="X105" i="28"/>
  <c r="Y105" i="28"/>
  <c r="X106" i="28"/>
  <c r="Y106" i="28"/>
  <c r="X107" i="28"/>
  <c r="Y107" i="28"/>
  <c r="X108" i="28"/>
  <c r="Y108" i="28"/>
  <c r="X109" i="28"/>
  <c r="Y109" i="28"/>
  <c r="X110" i="28"/>
  <c r="Y110" i="28"/>
  <c r="X111" i="28"/>
  <c r="Y111" i="28"/>
  <c r="X112" i="28"/>
  <c r="Y112" i="28"/>
  <c r="X113" i="28"/>
  <c r="Y113" i="28"/>
  <c r="X114" i="28"/>
  <c r="Y114" i="28"/>
  <c r="X115" i="28"/>
  <c r="Y115" i="28"/>
  <c r="X116" i="28"/>
  <c r="Y116" i="28"/>
  <c r="X117" i="28"/>
  <c r="Y117" i="28"/>
  <c r="X118" i="28"/>
  <c r="Y118" i="28"/>
  <c r="X119" i="28"/>
  <c r="Y119" i="28"/>
  <c r="X120" i="28"/>
  <c r="Y120" i="28"/>
  <c r="X121" i="28"/>
  <c r="Y121" i="28"/>
  <c r="X122" i="28"/>
  <c r="Y122" i="28"/>
  <c r="X123" i="28"/>
  <c r="Y123" i="28"/>
  <c r="X124" i="28"/>
  <c r="Y124" i="28"/>
  <c r="X125" i="28"/>
  <c r="Y125" i="28"/>
  <c r="X126" i="28"/>
  <c r="Y126" i="28"/>
  <c r="X127" i="28"/>
  <c r="Y127" i="28"/>
  <c r="X128" i="28"/>
  <c r="Y128" i="28"/>
  <c r="X129" i="28"/>
  <c r="Y129" i="28"/>
  <c r="X130" i="28"/>
  <c r="Y130" i="28"/>
  <c r="X131" i="28"/>
  <c r="Y131" i="28"/>
  <c r="X132" i="28"/>
  <c r="Y132" i="28"/>
  <c r="X133" i="28"/>
  <c r="Y133" i="28"/>
  <c r="X134" i="28"/>
  <c r="Y134" i="28"/>
  <c r="X135" i="28"/>
  <c r="Y135" i="28"/>
  <c r="X136" i="28"/>
  <c r="Y136" i="28"/>
  <c r="X137" i="28"/>
  <c r="Y137" i="28"/>
  <c r="X138" i="28"/>
  <c r="Y138" i="28"/>
  <c r="X139" i="28"/>
  <c r="Y139" i="28"/>
  <c r="X140" i="28"/>
  <c r="Y140" i="28"/>
  <c r="X141" i="28"/>
  <c r="Y141" i="28"/>
  <c r="X142" i="28"/>
  <c r="Y142" i="28"/>
  <c r="X143" i="28"/>
  <c r="Y143" i="28"/>
  <c r="X144" i="28"/>
  <c r="Y144" i="28"/>
  <c r="X145" i="28"/>
  <c r="Y145" i="28"/>
  <c r="X146" i="28"/>
  <c r="Y146" i="28"/>
  <c r="X147" i="28"/>
  <c r="Y147" i="28"/>
  <c r="X148" i="28"/>
  <c r="Y148" i="28"/>
  <c r="X149" i="28"/>
  <c r="Y149" i="28"/>
  <c r="X150" i="28"/>
  <c r="Y150" i="28"/>
  <c r="X151" i="28"/>
  <c r="Y151" i="28"/>
  <c r="X152" i="28"/>
  <c r="Y152" i="28"/>
  <c r="X153" i="28"/>
  <c r="Y153" i="28"/>
  <c r="X154" i="28"/>
  <c r="Y154" i="28"/>
  <c r="X155" i="28"/>
  <c r="Y155" i="28"/>
  <c r="X156" i="28"/>
  <c r="Y156" i="28"/>
  <c r="X157" i="28"/>
  <c r="Y157" i="28"/>
  <c r="X158" i="28"/>
  <c r="Y158" i="28"/>
  <c r="X12" i="28"/>
  <c r="AA12" i="28"/>
  <c r="Y12" i="28"/>
  <c r="J17" i="28"/>
  <c r="J16" i="28"/>
  <c r="J15" i="28"/>
  <c r="J17" i="25"/>
  <c r="J16" i="25"/>
  <c r="J15" i="25"/>
  <c r="I12" i="25"/>
  <c r="J12" i="25" s="1"/>
  <c r="W15" i="26"/>
  <c r="I15" i="25"/>
  <c r="I16" i="25"/>
  <c r="I17" i="25"/>
  <c r="AA15" i="25"/>
  <c r="AA16" i="25"/>
  <c r="AA17" i="25"/>
  <c r="AA18" i="25"/>
  <c r="AA19" i="25"/>
  <c r="AA20" i="25"/>
  <c r="AA21" i="25"/>
  <c r="AA22" i="25"/>
  <c r="AA23" i="25"/>
  <c r="AA24" i="25"/>
  <c r="AA25" i="25"/>
  <c r="AA26" i="25"/>
  <c r="AA27" i="25"/>
  <c r="AA28" i="25"/>
  <c r="AA29" i="25"/>
  <c r="AA30" i="25"/>
  <c r="AA31" i="25"/>
  <c r="AA32" i="25"/>
  <c r="AA33" i="25"/>
  <c r="AA34" i="25"/>
  <c r="AA35" i="25"/>
  <c r="AA36" i="25"/>
  <c r="AA37" i="25"/>
  <c r="AA38" i="25"/>
  <c r="AA39" i="25"/>
  <c r="AA40" i="25"/>
  <c r="AA41" i="25"/>
  <c r="AA42" i="25"/>
  <c r="AA43" i="25"/>
  <c r="AA44" i="25"/>
  <c r="AA45" i="25"/>
  <c r="AA46" i="25"/>
  <c r="AA47" i="25"/>
  <c r="AA48" i="25"/>
  <c r="AA49" i="25"/>
  <c r="AA50" i="25"/>
  <c r="AA51" i="25"/>
  <c r="AA52" i="25"/>
  <c r="AA53" i="25"/>
  <c r="AA54" i="25"/>
  <c r="AA55" i="25"/>
  <c r="AA56" i="25"/>
  <c r="AA57" i="25"/>
  <c r="AA58" i="25"/>
  <c r="AA59" i="25"/>
  <c r="AA60" i="25"/>
  <c r="AA61" i="25"/>
  <c r="AA62" i="25"/>
  <c r="AA63" i="25"/>
  <c r="AA64" i="25"/>
  <c r="AA65" i="25"/>
  <c r="AA66" i="25"/>
  <c r="AA67" i="25"/>
  <c r="AA68" i="25"/>
  <c r="AA69" i="25"/>
  <c r="AA70" i="25"/>
  <c r="AA71" i="25"/>
  <c r="AA72" i="25"/>
  <c r="AA73" i="25"/>
  <c r="AA74" i="25"/>
  <c r="AA75" i="25"/>
  <c r="AA76" i="25"/>
  <c r="AA77" i="25"/>
  <c r="AA78" i="25"/>
  <c r="AA79" i="25"/>
  <c r="AA80" i="25"/>
  <c r="AA81" i="25"/>
  <c r="AA82" i="25"/>
  <c r="AA83" i="25"/>
  <c r="AA84" i="25"/>
  <c r="AA85" i="25"/>
  <c r="AA86" i="25"/>
  <c r="AA87" i="25"/>
  <c r="AA88" i="25"/>
  <c r="AA89" i="25"/>
  <c r="AA90" i="25"/>
  <c r="AA91" i="25"/>
  <c r="AA92" i="25"/>
  <c r="AA93" i="25"/>
  <c r="AA94" i="25"/>
  <c r="AA95" i="25"/>
  <c r="AA96" i="25"/>
  <c r="AA97" i="25"/>
  <c r="AA98" i="25"/>
  <c r="AA99" i="25"/>
  <c r="AA100" i="25"/>
  <c r="AA101" i="25"/>
  <c r="AA102" i="25"/>
  <c r="AA103" i="25"/>
  <c r="AA104" i="25"/>
  <c r="AA105" i="25"/>
  <c r="AA106" i="25"/>
  <c r="AA107" i="25"/>
  <c r="AA108" i="25"/>
  <c r="AA109" i="25"/>
  <c r="AA110" i="25"/>
  <c r="AA111" i="25"/>
  <c r="AA112" i="25"/>
  <c r="AA113" i="25"/>
  <c r="AA114" i="25"/>
  <c r="AA115" i="25"/>
  <c r="AA116" i="25"/>
  <c r="AA117" i="25"/>
  <c r="AA118" i="25"/>
  <c r="AA119" i="25"/>
  <c r="AA120" i="25"/>
  <c r="AA121" i="25"/>
  <c r="AA122" i="25"/>
  <c r="AA123" i="25"/>
  <c r="AA124" i="25"/>
  <c r="AA125" i="25"/>
  <c r="AA126" i="25"/>
  <c r="AA127" i="25"/>
  <c r="AA128" i="25"/>
  <c r="AA129" i="25"/>
  <c r="AA130" i="25"/>
  <c r="AA131" i="25"/>
  <c r="AA132" i="25"/>
  <c r="AA133" i="25"/>
  <c r="AA134" i="25"/>
  <c r="AA135" i="25"/>
  <c r="AA136" i="25"/>
  <c r="AA137" i="25"/>
  <c r="AA138" i="25"/>
  <c r="AA139" i="25"/>
  <c r="AA140" i="25"/>
  <c r="AA141" i="25"/>
  <c r="AA142" i="25"/>
  <c r="AA143" i="25"/>
  <c r="AA144" i="25"/>
  <c r="AA145" i="25"/>
  <c r="AA146" i="25"/>
  <c r="AA147" i="25"/>
  <c r="AA148" i="25"/>
  <c r="AA149" i="25"/>
  <c r="AA150" i="25"/>
  <c r="AA151" i="25"/>
  <c r="AA152" i="25"/>
  <c r="AA153" i="25"/>
  <c r="AA154" i="25"/>
  <c r="AA155" i="25"/>
  <c r="AA156" i="25"/>
  <c r="AA157" i="25"/>
  <c r="AA158" i="25"/>
  <c r="X15" i="25"/>
  <c r="Y15" i="25"/>
  <c r="X16" i="25"/>
  <c r="Y16" i="25"/>
  <c r="X17" i="25"/>
  <c r="Y17" i="25"/>
  <c r="X18" i="25"/>
  <c r="Y18" i="25"/>
  <c r="X19" i="25"/>
  <c r="Y19" i="25"/>
  <c r="X20" i="25"/>
  <c r="Y20" i="25"/>
  <c r="X21" i="25"/>
  <c r="Y21" i="25"/>
  <c r="X22" i="25"/>
  <c r="Y22" i="25"/>
  <c r="X23" i="25"/>
  <c r="Y23" i="25"/>
  <c r="X24" i="25"/>
  <c r="Y24" i="25"/>
  <c r="X25" i="25"/>
  <c r="Y25" i="25"/>
  <c r="X26" i="25"/>
  <c r="Y26" i="25"/>
  <c r="X27" i="25"/>
  <c r="Y27" i="25"/>
  <c r="X28" i="25"/>
  <c r="Y28" i="25"/>
  <c r="X29" i="25"/>
  <c r="Y29" i="25"/>
  <c r="X30" i="25"/>
  <c r="Y30" i="25"/>
  <c r="X31" i="25"/>
  <c r="Y31" i="25"/>
  <c r="X32" i="25"/>
  <c r="Y32" i="25"/>
  <c r="X33" i="25"/>
  <c r="Y33" i="25"/>
  <c r="X34" i="25"/>
  <c r="Y34" i="25"/>
  <c r="X35" i="25"/>
  <c r="Y35" i="25"/>
  <c r="X36" i="25"/>
  <c r="Y36" i="25"/>
  <c r="X37" i="25"/>
  <c r="Y37" i="25"/>
  <c r="X38" i="25"/>
  <c r="Y38" i="25"/>
  <c r="X39" i="25"/>
  <c r="Y39" i="25"/>
  <c r="X40" i="25"/>
  <c r="Y40" i="25"/>
  <c r="X41" i="25"/>
  <c r="Y41" i="25"/>
  <c r="X42" i="25"/>
  <c r="Y42" i="25"/>
  <c r="X43" i="25"/>
  <c r="Y43" i="25"/>
  <c r="X44" i="25"/>
  <c r="Y44" i="25"/>
  <c r="X45" i="25"/>
  <c r="Y45" i="25"/>
  <c r="X46" i="25"/>
  <c r="Y46" i="25"/>
  <c r="X47" i="25"/>
  <c r="Y47" i="25"/>
  <c r="X48" i="25"/>
  <c r="Y48" i="25"/>
  <c r="X49" i="25"/>
  <c r="Y49" i="25"/>
  <c r="X50" i="25"/>
  <c r="Y50" i="25"/>
  <c r="X51" i="25"/>
  <c r="Y51" i="25"/>
  <c r="X52" i="25"/>
  <c r="Y52" i="25"/>
  <c r="X53" i="25"/>
  <c r="Y53" i="25"/>
  <c r="X54" i="25"/>
  <c r="Y54" i="25"/>
  <c r="X55" i="25"/>
  <c r="Y55" i="25"/>
  <c r="X56" i="25"/>
  <c r="Y56" i="25"/>
  <c r="X57" i="25"/>
  <c r="Y57" i="25"/>
  <c r="X58" i="25"/>
  <c r="Y58" i="25"/>
  <c r="X59" i="25"/>
  <c r="Y59" i="25"/>
  <c r="X60" i="25"/>
  <c r="Y60" i="25"/>
  <c r="X61" i="25"/>
  <c r="Y61" i="25"/>
  <c r="X62" i="25"/>
  <c r="Y62" i="25"/>
  <c r="X63" i="25"/>
  <c r="Y63" i="25"/>
  <c r="X64" i="25"/>
  <c r="Y64" i="25"/>
  <c r="X65" i="25"/>
  <c r="Y65" i="25"/>
  <c r="X66" i="25"/>
  <c r="Y66" i="25"/>
  <c r="X67" i="25"/>
  <c r="Y67" i="25"/>
  <c r="X68" i="25"/>
  <c r="Y68" i="25"/>
  <c r="X69" i="25"/>
  <c r="Y69" i="25"/>
  <c r="X70" i="25"/>
  <c r="Y70" i="25"/>
  <c r="X71" i="25"/>
  <c r="Y71" i="25"/>
  <c r="X72" i="25"/>
  <c r="Y72" i="25"/>
  <c r="X73" i="25"/>
  <c r="Y73" i="25"/>
  <c r="X74" i="25"/>
  <c r="Y74" i="25"/>
  <c r="X75" i="25"/>
  <c r="Y75" i="25"/>
  <c r="X76" i="25"/>
  <c r="Y76" i="25"/>
  <c r="X77" i="25"/>
  <c r="Y77" i="25"/>
  <c r="X78" i="25"/>
  <c r="Y78" i="25"/>
  <c r="X79" i="25"/>
  <c r="Y79" i="25"/>
  <c r="X80" i="25"/>
  <c r="Y80" i="25"/>
  <c r="X81" i="25"/>
  <c r="Y81" i="25"/>
  <c r="X82" i="25"/>
  <c r="Y82" i="25"/>
  <c r="X83" i="25"/>
  <c r="Y83" i="25"/>
  <c r="X84" i="25"/>
  <c r="Y84" i="25"/>
  <c r="X85" i="25"/>
  <c r="Y85" i="25"/>
  <c r="X86" i="25"/>
  <c r="Y86" i="25"/>
  <c r="X87" i="25"/>
  <c r="Y87" i="25"/>
  <c r="X88" i="25"/>
  <c r="Y88" i="25"/>
  <c r="X89" i="25"/>
  <c r="Y89" i="25"/>
  <c r="X90" i="25"/>
  <c r="Y90" i="25"/>
  <c r="X91" i="25"/>
  <c r="Y91" i="25"/>
  <c r="X92" i="25"/>
  <c r="Y92" i="25"/>
  <c r="X93" i="25"/>
  <c r="Y93" i="25"/>
  <c r="X94" i="25"/>
  <c r="Y94" i="25"/>
  <c r="X95" i="25"/>
  <c r="Y95" i="25"/>
  <c r="X96" i="25"/>
  <c r="Y96" i="25"/>
  <c r="X97" i="25"/>
  <c r="Y97" i="25"/>
  <c r="X98" i="25"/>
  <c r="Y98" i="25"/>
  <c r="X99" i="25"/>
  <c r="Y99" i="25"/>
  <c r="X100" i="25"/>
  <c r="Y100" i="25"/>
  <c r="X101" i="25"/>
  <c r="Y101" i="25"/>
  <c r="X102" i="25"/>
  <c r="Y102" i="25"/>
  <c r="X103" i="25"/>
  <c r="Y103" i="25"/>
  <c r="X104" i="25"/>
  <c r="Y104" i="25"/>
  <c r="X105" i="25"/>
  <c r="Y105" i="25"/>
  <c r="X106" i="25"/>
  <c r="Y106" i="25"/>
  <c r="X107" i="25"/>
  <c r="Y107" i="25"/>
  <c r="X108" i="25"/>
  <c r="Y108" i="25"/>
  <c r="X109" i="25"/>
  <c r="Y109" i="25"/>
  <c r="X110" i="25"/>
  <c r="Y110" i="25"/>
  <c r="X111" i="25"/>
  <c r="Y111" i="25"/>
  <c r="X112" i="25"/>
  <c r="Y112" i="25"/>
  <c r="X113" i="25"/>
  <c r="Y113" i="25"/>
  <c r="X114" i="25"/>
  <c r="Y114" i="25"/>
  <c r="X115" i="25"/>
  <c r="Y115" i="25"/>
  <c r="X116" i="25"/>
  <c r="Y116" i="25"/>
  <c r="X117" i="25"/>
  <c r="Y117" i="25"/>
  <c r="X118" i="25"/>
  <c r="Y118" i="25"/>
  <c r="X119" i="25"/>
  <c r="Y119" i="25"/>
  <c r="X120" i="25"/>
  <c r="Y120" i="25"/>
  <c r="X121" i="25"/>
  <c r="Y121" i="25"/>
  <c r="X122" i="25"/>
  <c r="Y122" i="25"/>
  <c r="X123" i="25"/>
  <c r="Y123" i="25"/>
  <c r="X124" i="25"/>
  <c r="Y124" i="25"/>
  <c r="X125" i="25"/>
  <c r="Y125" i="25"/>
  <c r="X126" i="25"/>
  <c r="Y126" i="25"/>
  <c r="X127" i="25"/>
  <c r="Y127" i="25"/>
  <c r="X128" i="25"/>
  <c r="Y128" i="25"/>
  <c r="X129" i="25"/>
  <c r="Y129" i="25"/>
  <c r="X130" i="25"/>
  <c r="Y130" i="25"/>
  <c r="X131" i="25"/>
  <c r="Y131" i="25"/>
  <c r="X132" i="25"/>
  <c r="Y132" i="25"/>
  <c r="X133" i="25"/>
  <c r="Y133" i="25"/>
  <c r="X134" i="25"/>
  <c r="Y134" i="25"/>
  <c r="X135" i="25"/>
  <c r="Y135" i="25"/>
  <c r="X136" i="25"/>
  <c r="Y136" i="25"/>
  <c r="X137" i="25"/>
  <c r="Y137" i="25"/>
  <c r="X138" i="25"/>
  <c r="Y138" i="25"/>
  <c r="X139" i="25"/>
  <c r="Y139" i="25"/>
  <c r="X140" i="25"/>
  <c r="Y140" i="25"/>
  <c r="X141" i="25"/>
  <c r="Y141" i="25"/>
  <c r="X142" i="25"/>
  <c r="Y142" i="25"/>
  <c r="X143" i="25"/>
  <c r="Y143" i="25"/>
  <c r="X144" i="25"/>
  <c r="Y144" i="25"/>
  <c r="X145" i="25"/>
  <c r="Y145" i="25"/>
  <c r="X146" i="25"/>
  <c r="Y146" i="25"/>
  <c r="X147" i="25"/>
  <c r="Y147" i="25"/>
  <c r="X148" i="25"/>
  <c r="Y148" i="25"/>
  <c r="X149" i="25"/>
  <c r="Y149" i="25"/>
  <c r="X150" i="25"/>
  <c r="Y150" i="25"/>
  <c r="X151" i="25"/>
  <c r="Y151" i="25"/>
  <c r="X152" i="25"/>
  <c r="Y152" i="25"/>
  <c r="X153" i="25"/>
  <c r="Y153" i="25"/>
  <c r="X154" i="25"/>
  <c r="Y154" i="25"/>
  <c r="X155" i="25"/>
  <c r="Y155" i="25"/>
  <c r="X156" i="25"/>
  <c r="Y156" i="25"/>
  <c r="X157" i="25"/>
  <c r="Y157" i="25"/>
  <c r="X158" i="25"/>
  <c r="Y158" i="25"/>
  <c r="I19" i="25"/>
  <c r="J19" i="25"/>
  <c r="I20" i="25"/>
  <c r="J20" i="25"/>
  <c r="I21" i="25"/>
  <c r="J21" i="25"/>
  <c r="I22" i="25"/>
  <c r="J22" i="25"/>
  <c r="I23" i="25"/>
  <c r="J23" i="25"/>
  <c r="I24" i="25"/>
  <c r="J24" i="25"/>
  <c r="I25" i="25"/>
  <c r="J25" i="25"/>
  <c r="I26" i="25"/>
  <c r="J26" i="25"/>
  <c r="I27" i="25"/>
  <c r="J27" i="25"/>
  <c r="I28" i="25"/>
  <c r="J28" i="25"/>
  <c r="I29" i="25"/>
  <c r="J29" i="25"/>
  <c r="I30" i="25"/>
  <c r="J30" i="25"/>
  <c r="I31" i="25"/>
  <c r="J31" i="25"/>
  <c r="I32" i="25"/>
  <c r="J32" i="25"/>
  <c r="I33" i="25"/>
  <c r="J33" i="25"/>
  <c r="I34" i="25"/>
  <c r="J34" i="25"/>
  <c r="I35" i="25"/>
  <c r="J35" i="25"/>
  <c r="I36" i="25"/>
  <c r="J36" i="25"/>
  <c r="I37" i="25"/>
  <c r="J37" i="25"/>
  <c r="I38" i="25"/>
  <c r="J38" i="25"/>
  <c r="I39" i="25"/>
  <c r="J39" i="25"/>
  <c r="I40" i="25"/>
  <c r="J40" i="25"/>
  <c r="I41" i="25"/>
  <c r="J41" i="25"/>
  <c r="I42" i="25"/>
  <c r="J42" i="25"/>
  <c r="I43" i="25"/>
  <c r="J43" i="25"/>
  <c r="I44" i="25"/>
  <c r="J44" i="25"/>
  <c r="I45" i="25"/>
  <c r="J45" i="25"/>
  <c r="I46" i="25"/>
  <c r="J46" i="25"/>
  <c r="I47" i="25"/>
  <c r="J47" i="25"/>
  <c r="I48" i="25"/>
  <c r="J48" i="25"/>
  <c r="I49" i="25"/>
  <c r="J49" i="25"/>
  <c r="I50" i="25"/>
  <c r="J50" i="25"/>
  <c r="I51" i="25"/>
  <c r="J51" i="25"/>
  <c r="I52" i="25"/>
  <c r="J52" i="25"/>
  <c r="I53" i="25"/>
  <c r="J53" i="25"/>
  <c r="I54" i="25"/>
  <c r="J54" i="25"/>
  <c r="I55" i="25"/>
  <c r="J55" i="25"/>
  <c r="I56" i="25"/>
  <c r="J56" i="25"/>
  <c r="I57" i="25"/>
  <c r="J57" i="25"/>
  <c r="I58" i="25"/>
  <c r="J58" i="25"/>
  <c r="I59" i="25"/>
  <c r="J59" i="25"/>
  <c r="I60" i="25"/>
  <c r="J60" i="25"/>
  <c r="I61" i="25"/>
  <c r="J61" i="25"/>
  <c r="I62" i="25"/>
  <c r="J62" i="25"/>
  <c r="I63" i="25"/>
  <c r="J63" i="25"/>
  <c r="I64" i="25"/>
  <c r="J64" i="25"/>
  <c r="I65" i="25"/>
  <c r="J65" i="25"/>
  <c r="I66" i="25"/>
  <c r="J66" i="25"/>
  <c r="I67" i="25"/>
  <c r="J67" i="25"/>
  <c r="I68" i="25"/>
  <c r="J68" i="25"/>
  <c r="I69" i="25"/>
  <c r="J69" i="25"/>
  <c r="I70" i="25"/>
  <c r="J70" i="25"/>
  <c r="I71" i="25"/>
  <c r="J71" i="25"/>
  <c r="I72" i="25"/>
  <c r="J72" i="25"/>
  <c r="I73" i="25"/>
  <c r="J73" i="25"/>
  <c r="I74" i="25"/>
  <c r="J74" i="25"/>
  <c r="I75" i="25"/>
  <c r="J75" i="25"/>
  <c r="I76" i="25"/>
  <c r="J76" i="25"/>
  <c r="I77" i="25"/>
  <c r="J77" i="25"/>
  <c r="I78" i="25"/>
  <c r="J78" i="25"/>
  <c r="I79" i="25"/>
  <c r="J79" i="25"/>
  <c r="I80" i="25"/>
  <c r="J80" i="25"/>
  <c r="I81" i="25"/>
  <c r="J81" i="25"/>
  <c r="I82" i="25"/>
  <c r="J82" i="25"/>
  <c r="I83" i="25"/>
  <c r="J83" i="25"/>
  <c r="I84" i="25"/>
  <c r="J84" i="25"/>
  <c r="I85" i="25"/>
  <c r="J85" i="25"/>
  <c r="I86" i="25"/>
  <c r="J86" i="25"/>
  <c r="I87" i="25"/>
  <c r="J87" i="25"/>
  <c r="I88" i="25"/>
  <c r="J88" i="25"/>
  <c r="I89" i="25"/>
  <c r="J89" i="25"/>
  <c r="I90" i="25"/>
  <c r="J90" i="25"/>
  <c r="I91" i="25"/>
  <c r="J91" i="25"/>
  <c r="I92" i="25"/>
  <c r="J92" i="25"/>
  <c r="I93" i="25"/>
  <c r="J93" i="25"/>
  <c r="I94" i="25"/>
  <c r="J94" i="25"/>
  <c r="I95" i="25"/>
  <c r="J95" i="25"/>
  <c r="I96" i="25"/>
  <c r="J96" i="25"/>
  <c r="I97" i="25"/>
  <c r="J97" i="25"/>
  <c r="I98" i="25"/>
  <c r="J98" i="25"/>
  <c r="I99" i="25"/>
  <c r="J99" i="25"/>
  <c r="I100" i="25"/>
  <c r="J100" i="25"/>
  <c r="I101" i="25"/>
  <c r="J101" i="25"/>
  <c r="I102" i="25"/>
  <c r="J102" i="25"/>
  <c r="I103" i="25"/>
  <c r="J103" i="25"/>
  <c r="I104" i="25"/>
  <c r="J104" i="25"/>
  <c r="I105" i="25"/>
  <c r="J105" i="25"/>
  <c r="I106" i="25"/>
  <c r="J106" i="25"/>
  <c r="I107" i="25"/>
  <c r="J107" i="25"/>
  <c r="I108" i="25"/>
  <c r="J108" i="25"/>
  <c r="I109" i="25"/>
  <c r="J109" i="25"/>
  <c r="I110" i="25"/>
  <c r="J110" i="25"/>
  <c r="I111" i="25"/>
  <c r="J111" i="25"/>
  <c r="I112" i="25"/>
  <c r="J112" i="25"/>
  <c r="I113" i="25"/>
  <c r="J113" i="25"/>
  <c r="I114" i="25"/>
  <c r="J114" i="25"/>
  <c r="I115" i="25"/>
  <c r="J115" i="25"/>
  <c r="I116" i="25"/>
  <c r="J116" i="25"/>
  <c r="I117" i="25"/>
  <c r="J117" i="25"/>
  <c r="I118" i="25"/>
  <c r="J118" i="25"/>
  <c r="I119" i="25"/>
  <c r="J119" i="25"/>
  <c r="I120" i="25"/>
  <c r="J120" i="25"/>
  <c r="I121" i="25"/>
  <c r="J121" i="25"/>
  <c r="I122" i="25"/>
  <c r="J122" i="25"/>
  <c r="I123" i="25"/>
  <c r="J123" i="25"/>
  <c r="I124" i="25"/>
  <c r="J124" i="25"/>
  <c r="I125" i="25"/>
  <c r="J125" i="25"/>
  <c r="I126" i="25"/>
  <c r="J126" i="25"/>
  <c r="I127" i="25"/>
  <c r="J127" i="25"/>
  <c r="I128" i="25"/>
  <c r="J128" i="25"/>
  <c r="I129" i="25"/>
  <c r="J129" i="25"/>
  <c r="I130" i="25"/>
  <c r="J130" i="25"/>
  <c r="I131" i="25"/>
  <c r="J131" i="25"/>
  <c r="I132" i="25"/>
  <c r="J132" i="25"/>
  <c r="I133" i="25"/>
  <c r="J133" i="25"/>
  <c r="I134" i="25"/>
  <c r="J134" i="25"/>
  <c r="I135" i="25"/>
  <c r="J135" i="25"/>
  <c r="I136" i="25"/>
  <c r="J136" i="25"/>
  <c r="I137" i="25"/>
  <c r="J137" i="25"/>
  <c r="I138" i="25"/>
  <c r="J138" i="25"/>
  <c r="I139" i="25"/>
  <c r="J139" i="25"/>
  <c r="I140" i="25"/>
  <c r="J140" i="25"/>
  <c r="I141" i="25"/>
  <c r="J141" i="25"/>
  <c r="I142" i="25"/>
  <c r="J142" i="25"/>
  <c r="I143" i="25"/>
  <c r="J143" i="25"/>
  <c r="I144" i="25"/>
  <c r="J144" i="25"/>
  <c r="I145" i="25"/>
  <c r="J145" i="25"/>
  <c r="I146" i="25"/>
  <c r="J146" i="25"/>
  <c r="I147" i="25"/>
  <c r="J147" i="25"/>
  <c r="I148" i="25"/>
  <c r="J148" i="25"/>
  <c r="I149" i="25"/>
  <c r="J149" i="25"/>
  <c r="I150" i="25"/>
  <c r="J150" i="25"/>
  <c r="I151" i="25"/>
  <c r="J151" i="25"/>
  <c r="I152" i="25"/>
  <c r="J152" i="25"/>
  <c r="I153" i="25"/>
  <c r="J153" i="25"/>
  <c r="I154" i="25"/>
  <c r="J154" i="25"/>
  <c r="I155" i="25"/>
  <c r="J155" i="25"/>
  <c r="I156" i="25"/>
  <c r="J156" i="25"/>
  <c r="I157" i="25"/>
  <c r="J157" i="25"/>
  <c r="I18" i="25"/>
  <c r="J18" i="25"/>
  <c r="AI15" i="30" l="1"/>
  <c r="AF15" i="30" s="1" a="1"/>
  <c r="AF15" i="30" s="1"/>
  <c r="AG15" i="30"/>
  <c r="AH15" i="30"/>
  <c r="AE15" i="30" s="1" a="1"/>
  <c r="AE15" i="30" s="1"/>
  <c r="U15" i="30"/>
  <c r="AI16" i="30"/>
  <c r="AF16" i="30" s="1" a="1"/>
  <c r="AF16" i="30" s="1"/>
  <c r="AI14" i="30"/>
  <c r="AF14" i="30" s="1" a="1"/>
  <c r="AF14" i="30" s="1"/>
  <c r="AH14" i="30"/>
  <c r="AE14" i="30" s="1" a="1"/>
  <c r="AE14" i="30" s="1"/>
  <c r="AG14" i="30"/>
  <c r="U14" i="30"/>
  <c r="AG16" i="30"/>
  <c r="AH16" i="30"/>
  <c r="AE16" i="30" s="1" a="1"/>
  <c r="AE16" i="30" s="1"/>
  <c r="U16" i="30"/>
  <c r="AM15" i="26"/>
  <c r="AD16" i="30" l="1"/>
  <c r="AC16" i="30"/>
  <c r="AD14" i="30"/>
  <c r="AD15" i="30"/>
  <c r="AC15" i="30"/>
  <c r="U7" i="3"/>
  <c r="H15" i="24" l="1"/>
  <c r="F14" i="30"/>
  <c r="AK14" i="30" s="1"/>
  <c r="B16" i="30"/>
  <c r="C16" i="30"/>
  <c r="D16" i="30"/>
  <c r="B17" i="30"/>
  <c r="C17" i="30"/>
  <c r="D17" i="30"/>
  <c r="B18" i="30"/>
  <c r="C18" i="30"/>
  <c r="D18" i="30"/>
  <c r="B19" i="30"/>
  <c r="C19" i="30"/>
  <c r="D19" i="30"/>
  <c r="B20" i="30"/>
  <c r="C20" i="30"/>
  <c r="D20" i="30"/>
  <c r="B21" i="30"/>
  <c r="C21" i="30"/>
  <c r="D21" i="30"/>
  <c r="B22" i="30"/>
  <c r="C22" i="30"/>
  <c r="D22" i="30"/>
  <c r="B23" i="30"/>
  <c r="C23" i="30"/>
  <c r="D23" i="30"/>
  <c r="B24" i="30"/>
  <c r="C24" i="30"/>
  <c r="D24" i="30"/>
  <c r="B25" i="30"/>
  <c r="C25" i="30"/>
  <c r="D25" i="30"/>
  <c r="B26" i="30"/>
  <c r="C26" i="30"/>
  <c r="D26" i="30"/>
  <c r="B27" i="30"/>
  <c r="C27" i="30"/>
  <c r="D27" i="30"/>
  <c r="B28" i="30"/>
  <c r="C28" i="30"/>
  <c r="D28" i="30"/>
  <c r="B29" i="30"/>
  <c r="C29" i="30"/>
  <c r="D29" i="30"/>
  <c r="B30" i="30"/>
  <c r="C30" i="30"/>
  <c r="D30" i="30"/>
  <c r="B31" i="30"/>
  <c r="C31" i="30"/>
  <c r="D31" i="30"/>
  <c r="B32" i="30"/>
  <c r="C32" i="30"/>
  <c r="D32" i="30"/>
  <c r="B33" i="30"/>
  <c r="C33" i="30"/>
  <c r="D33" i="30"/>
  <c r="B34" i="30"/>
  <c r="C34" i="30"/>
  <c r="D34" i="30"/>
  <c r="B35" i="30"/>
  <c r="C35" i="30"/>
  <c r="D35" i="30"/>
  <c r="B36" i="30"/>
  <c r="C36" i="30"/>
  <c r="D36" i="30"/>
  <c r="B37" i="30"/>
  <c r="C37" i="30"/>
  <c r="D37" i="30"/>
  <c r="B38" i="30"/>
  <c r="C38" i="30"/>
  <c r="D38" i="30"/>
  <c r="B39" i="30"/>
  <c r="C39" i="30"/>
  <c r="D39" i="30"/>
  <c r="B40" i="30"/>
  <c r="C40" i="30"/>
  <c r="D40" i="30"/>
  <c r="B41" i="30"/>
  <c r="C41" i="30"/>
  <c r="D41" i="30"/>
  <c r="B42" i="30"/>
  <c r="C42" i="30"/>
  <c r="D42" i="30"/>
  <c r="B43" i="30"/>
  <c r="C43" i="30"/>
  <c r="D43" i="30"/>
  <c r="B44" i="30"/>
  <c r="C44" i="30"/>
  <c r="D44" i="30"/>
  <c r="B45" i="30"/>
  <c r="C45" i="30"/>
  <c r="D45" i="30"/>
  <c r="B46" i="30"/>
  <c r="C46" i="30"/>
  <c r="D46" i="30"/>
  <c r="B47" i="30"/>
  <c r="C47" i="30"/>
  <c r="D47" i="30"/>
  <c r="B48" i="30"/>
  <c r="C48" i="30"/>
  <c r="D48" i="30"/>
  <c r="B49" i="30"/>
  <c r="C49" i="30"/>
  <c r="D49" i="30"/>
  <c r="B50" i="30"/>
  <c r="C50" i="30"/>
  <c r="D50" i="30"/>
  <c r="B51" i="30"/>
  <c r="C51" i="30"/>
  <c r="D51" i="30"/>
  <c r="B52" i="30"/>
  <c r="C52" i="30"/>
  <c r="D52" i="30"/>
  <c r="B53" i="30"/>
  <c r="C53" i="30"/>
  <c r="D53" i="30"/>
  <c r="B54" i="30"/>
  <c r="C54" i="30"/>
  <c r="D54" i="30"/>
  <c r="B55" i="30"/>
  <c r="C55" i="30"/>
  <c r="D55" i="30"/>
  <c r="B56" i="30"/>
  <c r="C56" i="30"/>
  <c r="D56" i="30"/>
  <c r="B57" i="30"/>
  <c r="C57" i="30"/>
  <c r="D57" i="30"/>
  <c r="B58" i="30"/>
  <c r="C58" i="30"/>
  <c r="D58" i="30"/>
  <c r="B59" i="30"/>
  <c r="C59" i="30"/>
  <c r="D59" i="30"/>
  <c r="B60" i="30"/>
  <c r="C60" i="30"/>
  <c r="D60" i="30"/>
  <c r="B61" i="30"/>
  <c r="C61" i="30"/>
  <c r="D61" i="30"/>
  <c r="B62" i="30"/>
  <c r="C62" i="30"/>
  <c r="D62" i="30"/>
  <c r="B63" i="30"/>
  <c r="C63" i="30"/>
  <c r="D63" i="30"/>
  <c r="B64" i="30"/>
  <c r="C64" i="30"/>
  <c r="D64" i="30"/>
  <c r="B65" i="30"/>
  <c r="C65" i="30"/>
  <c r="D65" i="30"/>
  <c r="B66" i="30"/>
  <c r="C66" i="30"/>
  <c r="D66" i="30"/>
  <c r="B67" i="30"/>
  <c r="C67" i="30"/>
  <c r="D67" i="30"/>
  <c r="B68" i="30"/>
  <c r="C68" i="30"/>
  <c r="D68" i="30"/>
  <c r="B69" i="30"/>
  <c r="C69" i="30"/>
  <c r="D69" i="30"/>
  <c r="B70" i="30"/>
  <c r="C70" i="30"/>
  <c r="D70" i="30"/>
  <c r="B71" i="30"/>
  <c r="C71" i="30"/>
  <c r="D71" i="30"/>
  <c r="B72" i="30"/>
  <c r="C72" i="30"/>
  <c r="D72" i="30"/>
  <c r="B73" i="30"/>
  <c r="C73" i="30"/>
  <c r="D73" i="30"/>
  <c r="B74" i="30"/>
  <c r="C74" i="30"/>
  <c r="D74" i="30"/>
  <c r="B75" i="30"/>
  <c r="C75" i="30"/>
  <c r="D75" i="30"/>
  <c r="B76" i="30"/>
  <c r="C76" i="30"/>
  <c r="D76" i="30"/>
  <c r="B77" i="30"/>
  <c r="C77" i="30"/>
  <c r="D77" i="30"/>
  <c r="B78" i="30"/>
  <c r="C78" i="30"/>
  <c r="D78" i="30"/>
  <c r="B79" i="30"/>
  <c r="C79" i="30"/>
  <c r="D79" i="30"/>
  <c r="B80" i="30"/>
  <c r="C80" i="30"/>
  <c r="D80" i="30"/>
  <c r="B81" i="30"/>
  <c r="C81" i="30"/>
  <c r="D81" i="30"/>
  <c r="B82" i="30"/>
  <c r="C82" i="30"/>
  <c r="D82" i="30"/>
  <c r="B83" i="30"/>
  <c r="C83" i="30"/>
  <c r="D83" i="30"/>
  <c r="B84" i="30"/>
  <c r="C84" i="30"/>
  <c r="D84" i="30"/>
  <c r="B85" i="30"/>
  <c r="C85" i="30"/>
  <c r="D85" i="30"/>
  <c r="B86" i="30"/>
  <c r="C86" i="30"/>
  <c r="D86" i="30"/>
  <c r="B87" i="30"/>
  <c r="C87" i="30"/>
  <c r="D87" i="30"/>
  <c r="B88" i="30"/>
  <c r="C88" i="30"/>
  <c r="D88" i="30"/>
  <c r="B89" i="30"/>
  <c r="C89" i="30"/>
  <c r="D89" i="30"/>
  <c r="B90" i="30"/>
  <c r="C90" i="30"/>
  <c r="D90" i="30"/>
  <c r="B91" i="30"/>
  <c r="C91" i="30"/>
  <c r="D91" i="30"/>
  <c r="B92" i="30"/>
  <c r="C92" i="30"/>
  <c r="D92" i="30"/>
  <c r="B93" i="30"/>
  <c r="C93" i="30"/>
  <c r="D93" i="30"/>
  <c r="B94" i="30"/>
  <c r="C94" i="30"/>
  <c r="D94" i="30"/>
  <c r="B95" i="30"/>
  <c r="C95" i="30"/>
  <c r="D95" i="30"/>
  <c r="B96" i="30"/>
  <c r="C96" i="30"/>
  <c r="D96" i="30"/>
  <c r="B97" i="30"/>
  <c r="C97" i="30"/>
  <c r="D97" i="30"/>
  <c r="B98" i="30"/>
  <c r="C98" i="30"/>
  <c r="D98" i="30"/>
  <c r="B99" i="30"/>
  <c r="C99" i="30"/>
  <c r="D99" i="30"/>
  <c r="B100" i="30"/>
  <c r="C100" i="30"/>
  <c r="D100" i="30"/>
  <c r="B101" i="30"/>
  <c r="C101" i="30"/>
  <c r="D101" i="30"/>
  <c r="B102" i="30"/>
  <c r="C102" i="30"/>
  <c r="D102" i="30"/>
  <c r="B103" i="30"/>
  <c r="C103" i="30"/>
  <c r="D103" i="30"/>
  <c r="B104" i="30"/>
  <c r="C104" i="30"/>
  <c r="D104" i="30"/>
  <c r="B105" i="30"/>
  <c r="C105" i="30"/>
  <c r="D105" i="30"/>
  <c r="B106" i="30"/>
  <c r="C106" i="30"/>
  <c r="D106" i="30"/>
  <c r="B107" i="30"/>
  <c r="C107" i="30"/>
  <c r="D107" i="30"/>
  <c r="B108" i="30"/>
  <c r="C108" i="30"/>
  <c r="D108" i="30"/>
  <c r="B109" i="30"/>
  <c r="C109" i="30"/>
  <c r="D109" i="30"/>
  <c r="B110" i="30"/>
  <c r="C110" i="30"/>
  <c r="D110" i="30"/>
  <c r="B111" i="30"/>
  <c r="C111" i="30"/>
  <c r="D111" i="30"/>
  <c r="B112" i="30"/>
  <c r="C112" i="30"/>
  <c r="D112" i="30"/>
  <c r="B113" i="30"/>
  <c r="C113" i="30"/>
  <c r="D113" i="30"/>
  <c r="B114" i="30"/>
  <c r="C114" i="30"/>
  <c r="D114" i="30"/>
  <c r="B115" i="30"/>
  <c r="C115" i="30"/>
  <c r="D115" i="30"/>
  <c r="B116" i="30"/>
  <c r="C116" i="30"/>
  <c r="D116" i="30"/>
  <c r="B117" i="30"/>
  <c r="C117" i="30"/>
  <c r="D117" i="30"/>
  <c r="B118" i="30"/>
  <c r="C118" i="30"/>
  <c r="D118" i="30"/>
  <c r="B119" i="30"/>
  <c r="C119" i="30"/>
  <c r="D119" i="30"/>
  <c r="B120" i="30"/>
  <c r="C120" i="30"/>
  <c r="D120" i="30"/>
  <c r="B121" i="30"/>
  <c r="C121" i="30"/>
  <c r="D121" i="30"/>
  <c r="B122" i="30"/>
  <c r="C122" i="30"/>
  <c r="D122" i="30"/>
  <c r="B123" i="30"/>
  <c r="C123" i="30"/>
  <c r="D123" i="30"/>
  <c r="B124" i="30"/>
  <c r="C124" i="30"/>
  <c r="D124" i="30"/>
  <c r="B125" i="30"/>
  <c r="C125" i="30"/>
  <c r="D125" i="30"/>
  <c r="B126" i="30"/>
  <c r="C126" i="30"/>
  <c r="D126" i="30"/>
  <c r="B127" i="30"/>
  <c r="C127" i="30"/>
  <c r="D127" i="30"/>
  <c r="B128" i="30"/>
  <c r="C128" i="30"/>
  <c r="D128" i="30"/>
  <c r="B129" i="30"/>
  <c r="C129" i="30"/>
  <c r="D129" i="30"/>
  <c r="B130" i="30"/>
  <c r="C130" i="30"/>
  <c r="D130" i="30"/>
  <c r="B131" i="30"/>
  <c r="C131" i="30"/>
  <c r="D131" i="30"/>
  <c r="B132" i="30"/>
  <c r="C132" i="30"/>
  <c r="D132" i="30"/>
  <c r="B133" i="30"/>
  <c r="C133" i="30"/>
  <c r="D133" i="30"/>
  <c r="B134" i="30"/>
  <c r="C134" i="30"/>
  <c r="D134" i="30"/>
  <c r="B135" i="30"/>
  <c r="C135" i="30"/>
  <c r="D135" i="30"/>
  <c r="B136" i="30"/>
  <c r="C136" i="30"/>
  <c r="D136" i="30"/>
  <c r="B137" i="30"/>
  <c r="C137" i="30"/>
  <c r="D137" i="30"/>
  <c r="B138" i="30"/>
  <c r="C138" i="30"/>
  <c r="D138" i="30"/>
  <c r="B139" i="30"/>
  <c r="C139" i="30"/>
  <c r="D139" i="30"/>
  <c r="B140" i="30"/>
  <c r="C140" i="30"/>
  <c r="D140" i="30"/>
  <c r="B141" i="30"/>
  <c r="C141" i="30"/>
  <c r="D141" i="30"/>
  <c r="B142" i="30"/>
  <c r="C142" i="30"/>
  <c r="D142" i="30"/>
  <c r="B143" i="30"/>
  <c r="C143" i="30"/>
  <c r="D143" i="30"/>
  <c r="B144" i="30"/>
  <c r="C144" i="30"/>
  <c r="D144" i="30"/>
  <c r="B145" i="30"/>
  <c r="C145" i="30"/>
  <c r="D145" i="30"/>
  <c r="B146" i="30"/>
  <c r="C146" i="30"/>
  <c r="D146" i="30"/>
  <c r="B147" i="30"/>
  <c r="C147" i="30"/>
  <c r="D147" i="30"/>
  <c r="B148" i="30"/>
  <c r="C148" i="30"/>
  <c r="D148" i="30"/>
  <c r="B149" i="30"/>
  <c r="C149" i="30"/>
  <c r="D149" i="30"/>
  <c r="B150" i="30"/>
  <c r="C150" i="30"/>
  <c r="D150" i="30"/>
  <c r="B151" i="30"/>
  <c r="C151" i="30"/>
  <c r="D151" i="30"/>
  <c r="B152" i="30"/>
  <c r="C152" i="30"/>
  <c r="D152" i="30"/>
  <c r="B153" i="30"/>
  <c r="C153" i="30"/>
  <c r="D153" i="30"/>
  <c r="B154" i="30"/>
  <c r="C154" i="30"/>
  <c r="D154" i="30"/>
  <c r="B155" i="30"/>
  <c r="C155" i="30"/>
  <c r="D155" i="30"/>
  <c r="B156" i="30"/>
  <c r="C156" i="30"/>
  <c r="D156" i="30"/>
  <c r="B157" i="30"/>
  <c r="C157" i="30"/>
  <c r="D157" i="30"/>
  <c r="B158" i="30"/>
  <c r="C158" i="30"/>
  <c r="D158" i="30"/>
  <c r="B159" i="30"/>
  <c r="C159" i="30"/>
  <c r="D159" i="30"/>
  <c r="B160" i="30"/>
  <c r="C160" i="30"/>
  <c r="D160" i="30"/>
  <c r="B14" i="30"/>
  <c r="C14" i="30"/>
  <c r="D14" i="30"/>
  <c r="C15" i="30"/>
  <c r="D15" i="30"/>
  <c r="J19" i="28"/>
  <c r="J20" i="28"/>
  <c r="J21" i="28"/>
  <c r="J23" i="28"/>
  <c r="J24" i="28"/>
  <c r="J25" i="28"/>
  <c r="J26" i="28"/>
  <c r="I27" i="28"/>
  <c r="J27" i="28" s="1"/>
  <c r="I28" i="28"/>
  <c r="J28" i="28" s="1"/>
  <c r="I29" i="28"/>
  <c r="J29" i="28" s="1"/>
  <c r="I30" i="28"/>
  <c r="I31" i="28"/>
  <c r="J31" i="28" s="1"/>
  <c r="I32" i="28"/>
  <c r="J32" i="28" s="1"/>
  <c r="I33" i="28"/>
  <c r="J33" i="28" s="1"/>
  <c r="I34" i="28"/>
  <c r="J34" i="28" s="1"/>
  <c r="I35" i="28"/>
  <c r="J35" i="28" s="1"/>
  <c r="I36" i="28"/>
  <c r="J36" i="28" s="1"/>
  <c r="I37" i="28"/>
  <c r="J37" i="28" s="1"/>
  <c r="I38" i="28"/>
  <c r="J38" i="28" s="1"/>
  <c r="I39" i="28"/>
  <c r="J39" i="28" s="1"/>
  <c r="I40" i="28"/>
  <c r="J40" i="28" s="1"/>
  <c r="I41" i="28"/>
  <c r="J41" i="28" s="1"/>
  <c r="I42" i="28"/>
  <c r="I43" i="28"/>
  <c r="J43" i="28" s="1"/>
  <c r="I44" i="28"/>
  <c r="J44" i="28" s="1"/>
  <c r="I45" i="28"/>
  <c r="J45" i="28" s="1"/>
  <c r="I47" i="28"/>
  <c r="J47" i="28" s="1"/>
  <c r="P160" i="30"/>
  <c r="O160" i="30"/>
  <c r="N160" i="30"/>
  <c r="L160" i="30"/>
  <c r="J160" i="30"/>
  <c r="F160" i="30"/>
  <c r="P159" i="30"/>
  <c r="O159" i="30"/>
  <c r="N159" i="30"/>
  <c r="L159" i="30"/>
  <c r="J159" i="30"/>
  <c r="F159" i="30"/>
  <c r="AM159" i="30" s="1"/>
  <c r="P158" i="30"/>
  <c r="O158" i="30"/>
  <c r="N158" i="30"/>
  <c r="AL158" i="30" s="1"/>
  <c r="L158" i="30"/>
  <c r="J158" i="30"/>
  <c r="F158" i="30"/>
  <c r="AM158" i="30" s="1"/>
  <c r="P157" i="30"/>
  <c r="O157" i="30"/>
  <c r="N157" i="30"/>
  <c r="L157" i="30"/>
  <c r="J157" i="30"/>
  <c r="F157" i="30"/>
  <c r="AM157" i="30" s="1"/>
  <c r="P156" i="30"/>
  <c r="O156" i="30"/>
  <c r="N156" i="30"/>
  <c r="AL156" i="30" s="1"/>
  <c r="L156" i="30"/>
  <c r="J156" i="30"/>
  <c r="F156" i="30"/>
  <c r="AM156" i="30" s="1"/>
  <c r="P155" i="30"/>
  <c r="O155" i="30"/>
  <c r="N155" i="30"/>
  <c r="L155" i="30"/>
  <c r="J155" i="30"/>
  <c r="F155" i="30"/>
  <c r="P154" i="30"/>
  <c r="O154" i="30"/>
  <c r="N154" i="30"/>
  <c r="L154" i="30"/>
  <c r="J154" i="30"/>
  <c r="F154" i="30"/>
  <c r="AM154" i="30" s="1"/>
  <c r="P153" i="30"/>
  <c r="O153" i="30"/>
  <c r="N153" i="30"/>
  <c r="AL153" i="30" s="1"/>
  <c r="L153" i="30"/>
  <c r="J153" i="30"/>
  <c r="F153" i="30"/>
  <c r="AM153" i="30" s="1"/>
  <c r="P152" i="30"/>
  <c r="O152" i="30"/>
  <c r="N152" i="30"/>
  <c r="L152" i="30"/>
  <c r="J152" i="30"/>
  <c r="F152" i="30"/>
  <c r="AM152" i="30" s="1"/>
  <c r="P151" i="30"/>
  <c r="O151" i="30"/>
  <c r="N151" i="30"/>
  <c r="AL151" i="30" s="1"/>
  <c r="L151" i="30"/>
  <c r="J151" i="30"/>
  <c r="F151" i="30"/>
  <c r="AM151" i="30" s="1"/>
  <c r="P150" i="30"/>
  <c r="O150" i="30"/>
  <c r="N150" i="30"/>
  <c r="AL150" i="30" s="1"/>
  <c r="L150" i="30"/>
  <c r="J150" i="30"/>
  <c r="F150" i="30"/>
  <c r="AM150" i="30" s="1"/>
  <c r="P149" i="30"/>
  <c r="O149" i="30"/>
  <c r="N149" i="30"/>
  <c r="L149" i="30"/>
  <c r="J149" i="30"/>
  <c r="F149" i="30"/>
  <c r="AM149" i="30" s="1"/>
  <c r="P148" i="30"/>
  <c r="O148" i="30"/>
  <c r="N148" i="30"/>
  <c r="AL148" i="30" s="1"/>
  <c r="L148" i="30"/>
  <c r="J148" i="30"/>
  <c r="F148" i="30"/>
  <c r="AM148" i="30" s="1"/>
  <c r="P147" i="30"/>
  <c r="O147" i="30"/>
  <c r="N147" i="30"/>
  <c r="AL147" i="30" s="1"/>
  <c r="L147" i="30"/>
  <c r="J147" i="30"/>
  <c r="F147" i="30"/>
  <c r="AM147" i="30" s="1"/>
  <c r="P146" i="30"/>
  <c r="O146" i="30"/>
  <c r="N146" i="30"/>
  <c r="L146" i="30"/>
  <c r="J146" i="30"/>
  <c r="F146" i="30"/>
  <c r="AM146" i="30" s="1"/>
  <c r="P145" i="30"/>
  <c r="O145" i="30"/>
  <c r="N145" i="30"/>
  <c r="AL145" i="30" s="1"/>
  <c r="L145" i="30"/>
  <c r="J145" i="30"/>
  <c r="F145" i="30"/>
  <c r="AM145" i="30" s="1"/>
  <c r="P144" i="30"/>
  <c r="O144" i="30"/>
  <c r="N144" i="30"/>
  <c r="L144" i="30"/>
  <c r="J144" i="30"/>
  <c r="F144" i="30"/>
  <c r="P143" i="30"/>
  <c r="O143" i="30"/>
  <c r="N143" i="30"/>
  <c r="AL143" i="30" s="1"/>
  <c r="L143" i="30"/>
  <c r="J143" i="30"/>
  <c r="F143" i="30"/>
  <c r="P142" i="30"/>
  <c r="O142" i="30"/>
  <c r="N142" i="30"/>
  <c r="L142" i="30"/>
  <c r="J142" i="30"/>
  <c r="F142" i="30"/>
  <c r="AM142" i="30" s="1"/>
  <c r="P141" i="30"/>
  <c r="O141" i="30"/>
  <c r="N141" i="30"/>
  <c r="L141" i="30"/>
  <c r="J141" i="30"/>
  <c r="F141" i="30"/>
  <c r="AM141" i="30" s="1"/>
  <c r="P140" i="30"/>
  <c r="O140" i="30"/>
  <c r="N140" i="30"/>
  <c r="AL140" i="30" s="1"/>
  <c r="L140" i="30"/>
  <c r="J140" i="30"/>
  <c r="F140" i="30"/>
  <c r="AK140" i="30" s="1"/>
  <c r="P139" i="30"/>
  <c r="O139" i="30"/>
  <c r="N139" i="30"/>
  <c r="L139" i="30"/>
  <c r="J139" i="30"/>
  <c r="F139" i="30"/>
  <c r="AM139" i="30" s="1"/>
  <c r="P138" i="30"/>
  <c r="O138" i="30"/>
  <c r="N138" i="30"/>
  <c r="L138" i="30"/>
  <c r="J138" i="30"/>
  <c r="F138" i="30"/>
  <c r="AM138" i="30" s="1"/>
  <c r="P137" i="30"/>
  <c r="O137" i="30"/>
  <c r="N137" i="30"/>
  <c r="AL137" i="30" s="1"/>
  <c r="L137" i="30"/>
  <c r="J137" i="30"/>
  <c r="F137" i="30"/>
  <c r="AM137" i="30" s="1"/>
  <c r="P136" i="30"/>
  <c r="O136" i="30"/>
  <c r="N136" i="30"/>
  <c r="L136" i="30"/>
  <c r="J136" i="30"/>
  <c r="F136" i="30"/>
  <c r="AM136" i="30" s="1"/>
  <c r="P135" i="30"/>
  <c r="O135" i="30"/>
  <c r="N135" i="30"/>
  <c r="L135" i="30"/>
  <c r="J135" i="30"/>
  <c r="F135" i="30"/>
  <c r="AM135" i="30" s="1"/>
  <c r="P134" i="30"/>
  <c r="O134" i="30"/>
  <c r="N134" i="30"/>
  <c r="L134" i="30"/>
  <c r="J134" i="30"/>
  <c r="F134" i="30"/>
  <c r="AM134" i="30" s="1"/>
  <c r="P133" i="30"/>
  <c r="O133" i="30"/>
  <c r="N133" i="30"/>
  <c r="L133" i="30"/>
  <c r="J133" i="30"/>
  <c r="F133" i="30"/>
  <c r="AM133" i="30" s="1"/>
  <c r="P132" i="30"/>
  <c r="O132" i="30"/>
  <c r="N132" i="30"/>
  <c r="AL132" i="30" s="1"/>
  <c r="L132" i="30"/>
  <c r="J132" i="30"/>
  <c r="F132" i="30"/>
  <c r="AM132" i="30" s="1"/>
  <c r="P131" i="30"/>
  <c r="O131" i="30"/>
  <c r="N131" i="30"/>
  <c r="L131" i="30"/>
  <c r="J131" i="30"/>
  <c r="F131" i="30"/>
  <c r="AM131" i="30" s="1"/>
  <c r="P130" i="30"/>
  <c r="O130" i="30"/>
  <c r="N130" i="30"/>
  <c r="AL130" i="30" s="1"/>
  <c r="L130" i="30"/>
  <c r="J130" i="30"/>
  <c r="F130" i="30"/>
  <c r="AM130" i="30" s="1"/>
  <c r="P129" i="30"/>
  <c r="O129" i="30"/>
  <c r="N129" i="30"/>
  <c r="AL129" i="30" s="1"/>
  <c r="L129" i="30"/>
  <c r="J129" i="30"/>
  <c r="F129" i="30"/>
  <c r="AM129" i="30" s="1"/>
  <c r="P128" i="30"/>
  <c r="O128" i="30"/>
  <c r="N128" i="30"/>
  <c r="L128" i="30"/>
  <c r="J128" i="30"/>
  <c r="F128" i="30"/>
  <c r="AM128" i="30" s="1"/>
  <c r="P127" i="30"/>
  <c r="O127" i="30"/>
  <c r="N127" i="30"/>
  <c r="L127" i="30"/>
  <c r="J127" i="30"/>
  <c r="F127" i="30"/>
  <c r="P126" i="30"/>
  <c r="O126" i="30"/>
  <c r="N126" i="30"/>
  <c r="L126" i="30"/>
  <c r="J126" i="30"/>
  <c r="F126" i="30"/>
  <c r="AM126" i="30" s="1"/>
  <c r="P125" i="30"/>
  <c r="O125" i="30"/>
  <c r="N125" i="30"/>
  <c r="L125" i="30"/>
  <c r="J125" i="30"/>
  <c r="F125" i="30"/>
  <c r="AM125" i="30" s="1"/>
  <c r="P124" i="30"/>
  <c r="O124" i="30"/>
  <c r="N124" i="30"/>
  <c r="AL124" i="30" s="1"/>
  <c r="L124" i="30"/>
  <c r="J124" i="30"/>
  <c r="F124" i="30"/>
  <c r="AM124" i="30" s="1"/>
  <c r="P123" i="30"/>
  <c r="O123" i="30"/>
  <c r="N123" i="30"/>
  <c r="L123" i="30"/>
  <c r="J123" i="30"/>
  <c r="F123" i="30"/>
  <c r="AM123" i="30" s="1"/>
  <c r="P122" i="30"/>
  <c r="O122" i="30"/>
  <c r="N122" i="30"/>
  <c r="AL122" i="30" s="1"/>
  <c r="L122" i="30"/>
  <c r="J122" i="30"/>
  <c r="F122" i="30"/>
  <c r="AM122" i="30" s="1"/>
  <c r="P121" i="30"/>
  <c r="O121" i="30"/>
  <c r="N121" i="30"/>
  <c r="AL121" i="30" s="1"/>
  <c r="L121" i="30"/>
  <c r="J121" i="30"/>
  <c r="F121" i="30"/>
  <c r="AM121" i="30" s="1"/>
  <c r="P120" i="30"/>
  <c r="O120" i="30"/>
  <c r="N120" i="30"/>
  <c r="AL120" i="30" s="1"/>
  <c r="L120" i="30"/>
  <c r="J120" i="30"/>
  <c r="F120" i="30"/>
  <c r="AM120" i="30" s="1"/>
  <c r="P119" i="30"/>
  <c r="O119" i="30"/>
  <c r="N119" i="30"/>
  <c r="L119" i="30"/>
  <c r="J119" i="30"/>
  <c r="F119" i="30"/>
  <c r="AM119" i="30" s="1"/>
  <c r="P118" i="30"/>
  <c r="O118" i="30"/>
  <c r="N118" i="30"/>
  <c r="AL118" i="30" s="1"/>
  <c r="L118" i="30"/>
  <c r="J118" i="30"/>
  <c r="F118" i="30"/>
  <c r="AM118" i="30" s="1"/>
  <c r="P117" i="30"/>
  <c r="O117" i="30"/>
  <c r="N117" i="30"/>
  <c r="AL117" i="30" s="1"/>
  <c r="L117" i="30"/>
  <c r="J117" i="30"/>
  <c r="F117" i="30"/>
  <c r="AM117" i="30" s="1"/>
  <c r="P116" i="30"/>
  <c r="O116" i="30"/>
  <c r="N116" i="30"/>
  <c r="L116" i="30"/>
  <c r="J116" i="30"/>
  <c r="F116" i="30"/>
  <c r="AM116" i="30" s="1"/>
  <c r="P115" i="30"/>
  <c r="O115" i="30"/>
  <c r="N115" i="30"/>
  <c r="AL115" i="30" s="1"/>
  <c r="L115" i="30"/>
  <c r="J115" i="30"/>
  <c r="F115" i="30"/>
  <c r="AM115" i="30" s="1"/>
  <c r="P114" i="30"/>
  <c r="O114" i="30"/>
  <c r="N114" i="30"/>
  <c r="L114" i="30"/>
  <c r="J114" i="30"/>
  <c r="F114" i="30"/>
  <c r="AM114" i="30" s="1"/>
  <c r="P113" i="30"/>
  <c r="O113" i="30"/>
  <c r="N113" i="30"/>
  <c r="AL113" i="30" s="1"/>
  <c r="L113" i="30"/>
  <c r="J113" i="30"/>
  <c r="F113" i="30"/>
  <c r="AK113" i="30" s="1"/>
  <c r="P112" i="30"/>
  <c r="O112" i="30"/>
  <c r="N112" i="30"/>
  <c r="L112" i="30"/>
  <c r="J112" i="30"/>
  <c r="F112" i="30"/>
  <c r="AM112" i="30" s="1"/>
  <c r="P111" i="30"/>
  <c r="O111" i="30"/>
  <c r="N111" i="30"/>
  <c r="L111" i="30"/>
  <c r="J111" i="30"/>
  <c r="F111" i="30"/>
  <c r="AM111" i="30" s="1"/>
  <c r="P110" i="30"/>
  <c r="O110" i="30"/>
  <c r="N110" i="30"/>
  <c r="L110" i="30"/>
  <c r="J110" i="30"/>
  <c r="F110" i="30"/>
  <c r="AM110" i="30" s="1"/>
  <c r="P109" i="30"/>
  <c r="O109" i="30"/>
  <c r="N109" i="30"/>
  <c r="L109" i="30"/>
  <c r="J109" i="30"/>
  <c r="F109" i="30"/>
  <c r="P108" i="30"/>
  <c r="O108" i="30"/>
  <c r="N108" i="30"/>
  <c r="L108" i="30"/>
  <c r="J108" i="30"/>
  <c r="F108" i="30"/>
  <c r="AM108" i="30" s="1"/>
  <c r="P107" i="30"/>
  <c r="O107" i="30"/>
  <c r="N107" i="30"/>
  <c r="L107" i="30"/>
  <c r="J107" i="30"/>
  <c r="F107" i="30"/>
  <c r="AM107" i="30" s="1"/>
  <c r="P106" i="30"/>
  <c r="O106" i="30"/>
  <c r="N106" i="30"/>
  <c r="L106" i="30"/>
  <c r="J106" i="30"/>
  <c r="F106" i="30"/>
  <c r="AM106" i="30" s="1"/>
  <c r="P105" i="30"/>
  <c r="O105" i="30"/>
  <c r="N105" i="30"/>
  <c r="L105" i="30"/>
  <c r="J105" i="30"/>
  <c r="F105" i="30"/>
  <c r="AM105" i="30" s="1"/>
  <c r="P104" i="30"/>
  <c r="O104" i="30"/>
  <c r="N104" i="30"/>
  <c r="AL104" i="30" s="1"/>
  <c r="L104" i="30"/>
  <c r="J104" i="30"/>
  <c r="F104" i="30"/>
  <c r="AM104" i="30" s="1"/>
  <c r="P103" i="30"/>
  <c r="O103" i="30"/>
  <c r="N103" i="30"/>
  <c r="L103" i="30"/>
  <c r="J103" i="30"/>
  <c r="F103" i="30"/>
  <c r="AM103" i="30" s="1"/>
  <c r="P102" i="30"/>
  <c r="O102" i="30"/>
  <c r="N102" i="30"/>
  <c r="AL102" i="30" s="1"/>
  <c r="L102" i="30"/>
  <c r="J102" i="30"/>
  <c r="F102" i="30"/>
  <c r="AM102" i="30" s="1"/>
  <c r="P101" i="30"/>
  <c r="O101" i="30"/>
  <c r="N101" i="30"/>
  <c r="L101" i="30"/>
  <c r="J101" i="30"/>
  <c r="F101" i="30"/>
  <c r="AM101" i="30" s="1"/>
  <c r="P100" i="30"/>
  <c r="O100" i="30"/>
  <c r="N100" i="30"/>
  <c r="AL100" i="30" s="1"/>
  <c r="L100" i="30"/>
  <c r="J100" i="30"/>
  <c r="F100" i="30"/>
  <c r="AM100" i="30" s="1"/>
  <c r="P99" i="30"/>
  <c r="O99" i="30"/>
  <c r="N99" i="30"/>
  <c r="AL99" i="30" s="1"/>
  <c r="L99" i="30"/>
  <c r="J99" i="30"/>
  <c r="F99" i="30"/>
  <c r="AM99" i="30" s="1"/>
  <c r="P98" i="30"/>
  <c r="O98" i="30"/>
  <c r="N98" i="30"/>
  <c r="L98" i="30"/>
  <c r="J98" i="30"/>
  <c r="F98" i="30"/>
  <c r="AM98" i="30" s="1"/>
  <c r="P97" i="30"/>
  <c r="O97" i="30"/>
  <c r="N97" i="30"/>
  <c r="AL97" i="30" s="1"/>
  <c r="L97" i="30"/>
  <c r="J97" i="30"/>
  <c r="F97" i="30"/>
  <c r="AM97" i="30" s="1"/>
  <c r="P96" i="30"/>
  <c r="O96" i="30"/>
  <c r="N96" i="30"/>
  <c r="AL96" i="30" s="1"/>
  <c r="L96" i="30"/>
  <c r="J96" i="30"/>
  <c r="F96" i="30"/>
  <c r="AM96" i="30" s="1"/>
  <c r="P95" i="30"/>
  <c r="O95" i="30"/>
  <c r="N95" i="30"/>
  <c r="L95" i="30"/>
  <c r="J95" i="30"/>
  <c r="F95" i="30"/>
  <c r="AM95" i="30" s="1"/>
  <c r="P94" i="30"/>
  <c r="O94" i="30"/>
  <c r="N94" i="30"/>
  <c r="AL94" i="30" s="1"/>
  <c r="L94" i="30"/>
  <c r="J94" i="30"/>
  <c r="F94" i="30"/>
  <c r="AM94" i="30" s="1"/>
  <c r="P93" i="30"/>
  <c r="O93" i="30"/>
  <c r="N93" i="30"/>
  <c r="AL93" i="30" s="1"/>
  <c r="L93" i="30"/>
  <c r="J93" i="30"/>
  <c r="F93" i="30"/>
  <c r="P92" i="30"/>
  <c r="O92" i="30"/>
  <c r="N92" i="30"/>
  <c r="L92" i="30"/>
  <c r="J92" i="30"/>
  <c r="F92" i="30"/>
  <c r="AM92" i="30" s="1"/>
  <c r="P91" i="30"/>
  <c r="O91" i="30"/>
  <c r="N91" i="30"/>
  <c r="AL91" i="30" s="1"/>
  <c r="L91" i="30"/>
  <c r="J91" i="30"/>
  <c r="F91" i="30"/>
  <c r="AM91" i="30" s="1"/>
  <c r="P90" i="30"/>
  <c r="O90" i="30"/>
  <c r="N90" i="30"/>
  <c r="L90" i="30"/>
  <c r="J90" i="30"/>
  <c r="F90" i="30"/>
  <c r="AM90" i="30" s="1"/>
  <c r="P89" i="30"/>
  <c r="O89" i="30"/>
  <c r="N89" i="30"/>
  <c r="L89" i="30"/>
  <c r="J89" i="30"/>
  <c r="F89" i="30"/>
  <c r="AM89" i="30" s="1"/>
  <c r="P88" i="30"/>
  <c r="O88" i="30"/>
  <c r="N88" i="30"/>
  <c r="L88" i="30"/>
  <c r="J88" i="30"/>
  <c r="F88" i="30"/>
  <c r="AM88" i="30" s="1"/>
  <c r="P87" i="30"/>
  <c r="O87" i="30"/>
  <c r="N87" i="30"/>
  <c r="L87" i="30"/>
  <c r="J87" i="30"/>
  <c r="F87" i="30"/>
  <c r="AM87" i="30" s="1"/>
  <c r="P86" i="30"/>
  <c r="O86" i="30"/>
  <c r="N86" i="30"/>
  <c r="AL86" i="30" s="1"/>
  <c r="L86" i="30"/>
  <c r="J86" i="30"/>
  <c r="F86" i="30"/>
  <c r="AM86" i="30" s="1"/>
  <c r="P85" i="30"/>
  <c r="O85" i="30"/>
  <c r="N85" i="30"/>
  <c r="AL85" i="30" s="1"/>
  <c r="L85" i="30"/>
  <c r="J85" i="30"/>
  <c r="F85" i="30"/>
  <c r="AM85" i="30" s="1"/>
  <c r="P84" i="30"/>
  <c r="O84" i="30"/>
  <c r="N84" i="30"/>
  <c r="L84" i="30"/>
  <c r="J84" i="30"/>
  <c r="F84" i="30"/>
  <c r="AM84" i="30" s="1"/>
  <c r="P83" i="30"/>
  <c r="O83" i="30"/>
  <c r="N83" i="30"/>
  <c r="L83" i="30"/>
  <c r="J83" i="30"/>
  <c r="F83" i="30"/>
  <c r="AM83" i="30" s="1"/>
  <c r="P82" i="30"/>
  <c r="O82" i="30"/>
  <c r="N82" i="30"/>
  <c r="L82" i="30"/>
  <c r="J82" i="30"/>
  <c r="F82" i="30"/>
  <c r="P81" i="30"/>
  <c r="O81" i="30"/>
  <c r="N81" i="30"/>
  <c r="AL81" i="30" s="1"/>
  <c r="L81" i="30"/>
  <c r="J81" i="30"/>
  <c r="F81" i="30"/>
  <c r="AM81" i="30" s="1"/>
  <c r="P80" i="30"/>
  <c r="O80" i="30"/>
  <c r="N80" i="30"/>
  <c r="AL80" i="30" s="1"/>
  <c r="L80" i="30"/>
  <c r="J80" i="30"/>
  <c r="F80" i="30"/>
  <c r="AM80" i="30" s="1"/>
  <c r="P79" i="30"/>
  <c r="O79" i="30"/>
  <c r="N79" i="30"/>
  <c r="L79" i="30"/>
  <c r="J79" i="30"/>
  <c r="F79" i="30"/>
  <c r="P78" i="30"/>
  <c r="O78" i="30"/>
  <c r="N78" i="30"/>
  <c r="AL78" i="30" s="1"/>
  <c r="L78" i="30"/>
  <c r="J78" i="30"/>
  <c r="F78" i="30"/>
  <c r="AM78" i="30" s="1"/>
  <c r="P77" i="30"/>
  <c r="O77" i="30"/>
  <c r="N77" i="30"/>
  <c r="L77" i="30"/>
  <c r="J77" i="30"/>
  <c r="F77" i="30"/>
  <c r="AM77" i="30" s="1"/>
  <c r="P76" i="30"/>
  <c r="O76" i="30"/>
  <c r="N76" i="30"/>
  <c r="L76" i="30"/>
  <c r="J76" i="30"/>
  <c r="F76" i="30"/>
  <c r="AM76" i="30" s="1"/>
  <c r="P75" i="30"/>
  <c r="O75" i="30"/>
  <c r="N75" i="30"/>
  <c r="L75" i="30"/>
  <c r="J75" i="30"/>
  <c r="F75" i="30"/>
  <c r="AM75" i="30" s="1"/>
  <c r="P74" i="30"/>
  <c r="O74" i="30"/>
  <c r="N74" i="30"/>
  <c r="AL74" i="30" s="1"/>
  <c r="L74" i="30"/>
  <c r="J74" i="30"/>
  <c r="F74" i="30"/>
  <c r="AM74" i="30" s="1"/>
  <c r="P73" i="30"/>
  <c r="O73" i="30"/>
  <c r="N73" i="30"/>
  <c r="L73" i="30"/>
  <c r="J73" i="30"/>
  <c r="F73" i="30"/>
  <c r="AM73" i="30" s="1"/>
  <c r="P72" i="30"/>
  <c r="O72" i="30"/>
  <c r="N72" i="30"/>
  <c r="L72" i="30"/>
  <c r="J72" i="30"/>
  <c r="F72" i="30"/>
  <c r="AM72" i="30" s="1"/>
  <c r="P71" i="30"/>
  <c r="O71" i="30"/>
  <c r="N71" i="30"/>
  <c r="AL71" i="30" s="1"/>
  <c r="L71" i="30"/>
  <c r="J71" i="30"/>
  <c r="F71" i="30"/>
  <c r="P70" i="30"/>
  <c r="O70" i="30"/>
  <c r="N70" i="30"/>
  <c r="AL70" i="30" s="1"/>
  <c r="L70" i="30"/>
  <c r="J70" i="30"/>
  <c r="F70" i="30"/>
  <c r="AM70" i="30" s="1"/>
  <c r="P69" i="30"/>
  <c r="O69" i="30"/>
  <c r="N69" i="30"/>
  <c r="L69" i="30"/>
  <c r="J69" i="30"/>
  <c r="F69" i="30"/>
  <c r="AM69" i="30" s="1"/>
  <c r="P68" i="30"/>
  <c r="O68" i="30"/>
  <c r="N68" i="30"/>
  <c r="AL68" i="30" s="1"/>
  <c r="L68" i="30"/>
  <c r="J68" i="30"/>
  <c r="F68" i="30"/>
  <c r="AM68" i="30" s="1"/>
  <c r="P67" i="30"/>
  <c r="O67" i="30"/>
  <c r="N67" i="30"/>
  <c r="L67" i="30"/>
  <c r="J67" i="30"/>
  <c r="F67" i="30"/>
  <c r="AM67" i="30" s="1"/>
  <c r="P66" i="30"/>
  <c r="O66" i="30"/>
  <c r="N66" i="30"/>
  <c r="AL66" i="30" s="1"/>
  <c r="L66" i="30"/>
  <c r="J66" i="30"/>
  <c r="F66" i="30"/>
  <c r="AM66" i="30" s="1"/>
  <c r="P65" i="30"/>
  <c r="O65" i="30"/>
  <c r="N65" i="30"/>
  <c r="AL65" i="30" s="1"/>
  <c r="L65" i="30"/>
  <c r="J65" i="30"/>
  <c r="F65" i="30"/>
  <c r="AM65" i="30" s="1"/>
  <c r="P64" i="30"/>
  <c r="O64" i="30"/>
  <c r="N64" i="30"/>
  <c r="L64" i="30"/>
  <c r="J64" i="30"/>
  <c r="F64" i="30"/>
  <c r="AM64" i="30" s="1"/>
  <c r="P63" i="30"/>
  <c r="O63" i="30"/>
  <c r="N63" i="30"/>
  <c r="AL63" i="30" s="1"/>
  <c r="L63" i="30"/>
  <c r="J63" i="30"/>
  <c r="F63" i="30"/>
  <c r="AM63" i="30" s="1"/>
  <c r="P62" i="30"/>
  <c r="O62" i="30"/>
  <c r="N62" i="30"/>
  <c r="L62" i="30"/>
  <c r="J62" i="30"/>
  <c r="F62" i="30"/>
  <c r="P61" i="30"/>
  <c r="O61" i="30"/>
  <c r="N61" i="30"/>
  <c r="L61" i="30"/>
  <c r="J61" i="30"/>
  <c r="F61" i="30"/>
  <c r="P60" i="30"/>
  <c r="O60" i="30"/>
  <c r="N60" i="30"/>
  <c r="L60" i="30"/>
  <c r="J60" i="30"/>
  <c r="F60" i="30"/>
  <c r="P59" i="30"/>
  <c r="O59" i="30"/>
  <c r="N59" i="30"/>
  <c r="L59" i="30"/>
  <c r="J59" i="30"/>
  <c r="F59" i="30"/>
  <c r="AM59" i="30" s="1"/>
  <c r="P58" i="30"/>
  <c r="O58" i="30"/>
  <c r="N58" i="30"/>
  <c r="AL58" i="30" s="1"/>
  <c r="L58" i="30"/>
  <c r="J58" i="30"/>
  <c r="F58" i="30"/>
  <c r="AM58" i="30" s="1"/>
  <c r="P57" i="30"/>
  <c r="O57" i="30"/>
  <c r="N57" i="30"/>
  <c r="AL57" i="30" s="1"/>
  <c r="L57" i="30"/>
  <c r="J57" i="30"/>
  <c r="F57" i="30"/>
  <c r="AM57" i="30" s="1"/>
  <c r="P56" i="30"/>
  <c r="O56" i="30"/>
  <c r="N56" i="30"/>
  <c r="L56" i="30"/>
  <c r="J56" i="30"/>
  <c r="F56" i="30"/>
  <c r="AM56" i="30" s="1"/>
  <c r="P55" i="30"/>
  <c r="O55" i="30"/>
  <c r="N55" i="30"/>
  <c r="AL55" i="30" s="1"/>
  <c r="L55" i="30"/>
  <c r="J55" i="30"/>
  <c r="F55" i="30"/>
  <c r="P54" i="30"/>
  <c r="O54" i="30"/>
  <c r="N54" i="30"/>
  <c r="L54" i="30"/>
  <c r="J54" i="30"/>
  <c r="F54" i="30"/>
  <c r="AM54" i="30" s="1"/>
  <c r="P53" i="30"/>
  <c r="O53" i="30"/>
  <c r="N53" i="30"/>
  <c r="L53" i="30"/>
  <c r="J53" i="30"/>
  <c r="F53" i="30"/>
  <c r="AM53" i="30" s="1"/>
  <c r="P52" i="30"/>
  <c r="O52" i="30"/>
  <c r="N52" i="30"/>
  <c r="AL52" i="30" s="1"/>
  <c r="L52" i="30"/>
  <c r="J52" i="30"/>
  <c r="F52" i="30"/>
  <c r="AM52" i="30" s="1"/>
  <c r="P51" i="30"/>
  <c r="O51" i="30"/>
  <c r="N51" i="30"/>
  <c r="L51" i="30"/>
  <c r="J51" i="30"/>
  <c r="F51" i="30"/>
  <c r="P50" i="30"/>
  <c r="O50" i="30"/>
  <c r="N50" i="30"/>
  <c r="AL50" i="30" s="1"/>
  <c r="L50" i="30"/>
  <c r="J50" i="30"/>
  <c r="F50" i="30"/>
  <c r="AM50" i="30" s="1"/>
  <c r="P49" i="30"/>
  <c r="O49" i="30"/>
  <c r="N49" i="30"/>
  <c r="L49" i="30"/>
  <c r="J49" i="30"/>
  <c r="F49" i="30"/>
  <c r="AK49" i="30" s="1"/>
  <c r="P48" i="30"/>
  <c r="O48" i="30"/>
  <c r="N48" i="30"/>
  <c r="L48" i="30"/>
  <c r="J48" i="30"/>
  <c r="F48" i="30"/>
  <c r="P47" i="30"/>
  <c r="O47" i="30"/>
  <c r="N47" i="30"/>
  <c r="L47" i="30"/>
  <c r="J47" i="30"/>
  <c r="F47" i="30"/>
  <c r="AM47" i="30" s="1"/>
  <c r="P46" i="30"/>
  <c r="O46" i="30"/>
  <c r="N46" i="30"/>
  <c r="L46" i="30"/>
  <c r="J46" i="30"/>
  <c r="F46" i="30"/>
  <c r="AM46" i="30" s="1"/>
  <c r="P45" i="30"/>
  <c r="O45" i="30"/>
  <c r="N45" i="30"/>
  <c r="L45" i="30"/>
  <c r="J45" i="30"/>
  <c r="F45" i="30"/>
  <c r="AM45" i="30" s="1"/>
  <c r="P44" i="30"/>
  <c r="O44" i="30"/>
  <c r="N44" i="30"/>
  <c r="AL44" i="30" s="1"/>
  <c r="L44" i="30"/>
  <c r="J44" i="30"/>
  <c r="F44" i="30"/>
  <c r="AM44" i="30" s="1"/>
  <c r="P43" i="30"/>
  <c r="O43" i="30"/>
  <c r="N43" i="30"/>
  <c r="L43" i="30"/>
  <c r="J43" i="30"/>
  <c r="F43" i="30"/>
  <c r="AM43" i="30" s="1"/>
  <c r="P42" i="30"/>
  <c r="O42" i="30"/>
  <c r="N42" i="30"/>
  <c r="L42" i="30"/>
  <c r="J42" i="30"/>
  <c r="F42" i="30"/>
  <c r="P41" i="30"/>
  <c r="O41" i="30"/>
  <c r="N41" i="30"/>
  <c r="AL41" i="30" s="1"/>
  <c r="L41" i="30"/>
  <c r="J41" i="30"/>
  <c r="F41" i="30"/>
  <c r="P40" i="30"/>
  <c r="O40" i="30"/>
  <c r="N40" i="30"/>
  <c r="L40" i="30"/>
  <c r="J40" i="30"/>
  <c r="F40" i="30"/>
  <c r="AM40" i="30" s="1"/>
  <c r="P39" i="30"/>
  <c r="O39" i="30"/>
  <c r="N39" i="30"/>
  <c r="AL39" i="30" s="1"/>
  <c r="L39" i="30"/>
  <c r="J39" i="30"/>
  <c r="F39" i="30"/>
  <c r="AM39" i="30" s="1"/>
  <c r="P38" i="30"/>
  <c r="O38" i="30"/>
  <c r="N38" i="30"/>
  <c r="L38" i="30"/>
  <c r="J38" i="30"/>
  <c r="F38" i="30"/>
  <c r="AK38" i="30" s="1"/>
  <c r="P37" i="30"/>
  <c r="O37" i="30"/>
  <c r="N37" i="30"/>
  <c r="L37" i="30"/>
  <c r="J37" i="30"/>
  <c r="F37" i="30"/>
  <c r="P36" i="30"/>
  <c r="O36" i="30"/>
  <c r="N36" i="30"/>
  <c r="L36" i="30"/>
  <c r="J36" i="30"/>
  <c r="F36" i="30"/>
  <c r="AM36" i="30" s="1"/>
  <c r="P35" i="30"/>
  <c r="O35" i="30"/>
  <c r="N35" i="30"/>
  <c r="AL35" i="30" s="1"/>
  <c r="L35" i="30"/>
  <c r="J35" i="30"/>
  <c r="F35" i="30"/>
  <c r="AM35" i="30" s="1"/>
  <c r="P34" i="30"/>
  <c r="O34" i="30"/>
  <c r="N34" i="30"/>
  <c r="AL34" i="30" s="1"/>
  <c r="L34" i="30"/>
  <c r="J34" i="30"/>
  <c r="F34" i="30"/>
  <c r="AM34" i="30" s="1"/>
  <c r="P33" i="30"/>
  <c r="O33" i="30"/>
  <c r="N33" i="30"/>
  <c r="AL33" i="30" s="1"/>
  <c r="L33" i="30"/>
  <c r="J33" i="30"/>
  <c r="F33" i="30"/>
  <c r="AM33" i="30" s="1"/>
  <c r="P32" i="30"/>
  <c r="O32" i="30"/>
  <c r="N32" i="30"/>
  <c r="L32" i="30"/>
  <c r="J32" i="30"/>
  <c r="F32" i="30"/>
  <c r="AM32" i="30" s="1"/>
  <c r="P31" i="30"/>
  <c r="O31" i="30"/>
  <c r="N31" i="30"/>
  <c r="L31" i="30"/>
  <c r="J31" i="30"/>
  <c r="F31" i="30"/>
  <c r="AM31" i="30" s="1"/>
  <c r="P30" i="30"/>
  <c r="O30" i="30"/>
  <c r="N30" i="30"/>
  <c r="AL30" i="30" s="1"/>
  <c r="L30" i="30"/>
  <c r="J30" i="30"/>
  <c r="F30" i="30"/>
  <c r="AM30" i="30" s="1"/>
  <c r="P29" i="30"/>
  <c r="O29" i="30"/>
  <c r="N29" i="30"/>
  <c r="L29" i="30"/>
  <c r="J29" i="30"/>
  <c r="F29" i="30"/>
  <c r="P28" i="30"/>
  <c r="O28" i="30"/>
  <c r="N28" i="30"/>
  <c r="AL28" i="30" s="1"/>
  <c r="L28" i="30"/>
  <c r="J28" i="30"/>
  <c r="F28" i="30"/>
  <c r="AM28" i="30" s="1"/>
  <c r="P27" i="30"/>
  <c r="O27" i="30"/>
  <c r="N27" i="30"/>
  <c r="L27" i="30"/>
  <c r="J27" i="30"/>
  <c r="F27" i="30"/>
  <c r="AM27" i="30" s="1"/>
  <c r="P26" i="30"/>
  <c r="O26" i="30"/>
  <c r="N26" i="30"/>
  <c r="L26" i="30"/>
  <c r="J26" i="30"/>
  <c r="F26" i="30"/>
  <c r="AM26" i="30" s="1"/>
  <c r="P25" i="30"/>
  <c r="O25" i="30"/>
  <c r="N25" i="30"/>
  <c r="L25" i="30"/>
  <c r="J25" i="30"/>
  <c r="F25" i="30"/>
  <c r="P24" i="30"/>
  <c r="O24" i="30"/>
  <c r="N24" i="30"/>
  <c r="L24" i="30"/>
  <c r="J24" i="30"/>
  <c r="F24" i="30"/>
  <c r="AM24" i="30" s="1"/>
  <c r="P23" i="30"/>
  <c r="O23" i="30"/>
  <c r="N23" i="30"/>
  <c r="AL23" i="30" s="1"/>
  <c r="L23" i="30"/>
  <c r="J23" i="30"/>
  <c r="F23" i="30"/>
  <c r="AM23" i="30" s="1"/>
  <c r="P22" i="30"/>
  <c r="O22" i="30"/>
  <c r="N22" i="30"/>
  <c r="AL22" i="30" s="1"/>
  <c r="L22" i="30"/>
  <c r="J22" i="30"/>
  <c r="F22" i="30"/>
  <c r="AM22" i="30" s="1"/>
  <c r="P21" i="30"/>
  <c r="O21" i="30"/>
  <c r="N21" i="30"/>
  <c r="L21" i="30"/>
  <c r="J21" i="30"/>
  <c r="F21" i="30"/>
  <c r="AM21" i="30" s="1"/>
  <c r="P20" i="30"/>
  <c r="O20" i="30"/>
  <c r="N20" i="30"/>
  <c r="AL20" i="30" s="1"/>
  <c r="L20" i="30"/>
  <c r="J20" i="30"/>
  <c r="F20" i="30"/>
  <c r="P19" i="30"/>
  <c r="O19" i="30"/>
  <c r="N19" i="30"/>
  <c r="AL19" i="30" s="1"/>
  <c r="L19" i="30"/>
  <c r="J19" i="30"/>
  <c r="F19" i="30"/>
  <c r="AM19" i="30" s="1"/>
  <c r="P18" i="30"/>
  <c r="O18" i="30"/>
  <c r="N18" i="30"/>
  <c r="L18" i="30"/>
  <c r="J18" i="30"/>
  <c r="F18" i="30"/>
  <c r="AM18" i="30" s="1"/>
  <c r="P17" i="30"/>
  <c r="O17" i="30"/>
  <c r="N17" i="30"/>
  <c r="AL17" i="30" s="1"/>
  <c r="L17" i="30"/>
  <c r="J17" i="30"/>
  <c r="F17" i="30"/>
  <c r="AM17" i="30" s="1"/>
  <c r="P16" i="30"/>
  <c r="O16" i="30"/>
  <c r="N16" i="30"/>
  <c r="L16" i="30"/>
  <c r="J16" i="30"/>
  <c r="F16" i="30"/>
  <c r="P15" i="30"/>
  <c r="O15" i="30"/>
  <c r="N15" i="30"/>
  <c r="AL15" i="30" s="1"/>
  <c r="L15" i="30"/>
  <c r="J15" i="30"/>
  <c r="F15" i="30"/>
  <c r="B15" i="30"/>
  <c r="P14" i="30"/>
  <c r="O14" i="30"/>
  <c r="N14" i="30"/>
  <c r="L14" i="30"/>
  <c r="J14" i="30"/>
  <c r="M14" i="30" l="1"/>
  <c r="AK159" i="30"/>
  <c r="AK120" i="30"/>
  <c r="AK50" i="30"/>
  <c r="S136" i="30"/>
  <c r="AK153" i="30"/>
  <c r="AK75" i="30"/>
  <c r="AK80" i="30"/>
  <c r="M119" i="30"/>
  <c r="AK122" i="30"/>
  <c r="X140" i="30" a="1"/>
  <c r="X140" i="30" s="1"/>
  <c r="AB140" i="30" s="1" a="1"/>
  <c r="AB140" i="30" s="1"/>
  <c r="Q39" i="30"/>
  <c r="AK124" i="30"/>
  <c r="Q31" i="30"/>
  <c r="AK141" i="30"/>
  <c r="AK27" i="30"/>
  <c r="AK132" i="30"/>
  <c r="S105" i="30"/>
  <c r="AK28" i="30"/>
  <c r="AK31" i="30"/>
  <c r="S31" i="30"/>
  <c r="S59" i="30"/>
  <c r="AK157" i="30"/>
  <c r="AK68" i="30"/>
  <c r="AK73" i="30"/>
  <c r="K98" i="30"/>
  <c r="S135" i="30"/>
  <c r="K75" i="30"/>
  <c r="AK91" i="30"/>
  <c r="Q15" i="30"/>
  <c r="AK76" i="30"/>
  <c r="S20" i="30"/>
  <c r="M95" i="30"/>
  <c r="AK135" i="30"/>
  <c r="S67" i="30"/>
  <c r="S132" i="30"/>
  <c r="S142" i="30"/>
  <c r="AK149" i="30"/>
  <c r="AK86" i="30"/>
  <c r="S83" i="30"/>
  <c r="S144" i="30"/>
  <c r="AL31" i="30"/>
  <c r="S75" i="30"/>
  <c r="X108" i="30" a="1"/>
  <c r="X108" i="30" s="1"/>
  <c r="AB108" i="30" s="1" a="1"/>
  <c r="AB108" i="30" s="1"/>
  <c r="S145" i="30"/>
  <c r="AK44" i="30"/>
  <c r="AK130" i="30"/>
  <c r="X23" i="30" a="1"/>
  <c r="X23" i="30" s="1"/>
  <c r="AB23" i="30" s="1" a="1"/>
  <c r="AB23" i="30" s="1"/>
  <c r="K32" i="30"/>
  <c r="S64" i="30"/>
  <c r="K151" i="30"/>
  <c r="AK23" i="30"/>
  <c r="S110" i="30"/>
  <c r="S133" i="30"/>
  <c r="S160" i="30"/>
  <c r="M88" i="30"/>
  <c r="S124" i="30"/>
  <c r="S79" i="30"/>
  <c r="S111" i="30"/>
  <c r="AK88" i="30"/>
  <c r="AK47" i="30"/>
  <c r="S52" i="30"/>
  <c r="M153" i="30"/>
  <c r="X80" i="30" a="1"/>
  <c r="X80" i="30" s="1"/>
  <c r="AB80" i="30" s="1" a="1"/>
  <c r="AB80" i="30" s="1"/>
  <c r="S152" i="30"/>
  <c r="S76" i="30"/>
  <c r="M122" i="30"/>
  <c r="M140" i="30"/>
  <c r="AK102" i="30"/>
  <c r="K90" i="30"/>
  <c r="S94" i="30"/>
  <c r="S80" i="30"/>
  <c r="AK107" i="30"/>
  <c r="AK112" i="30"/>
  <c r="K40" i="30"/>
  <c r="AK52" i="30"/>
  <c r="Q40" i="30"/>
  <c r="S44" i="30"/>
  <c r="K68" i="30"/>
  <c r="Q109" i="30"/>
  <c r="AK32" i="30"/>
  <c r="AK97" i="30"/>
  <c r="AL110" i="30"/>
  <c r="M141" i="30"/>
  <c r="AK148" i="30"/>
  <c r="AK151" i="30"/>
  <c r="AK65" i="30"/>
  <c r="K45" i="30"/>
  <c r="S109" i="30"/>
  <c r="AK57" i="30"/>
  <c r="AK66" i="30"/>
  <c r="AK118" i="30"/>
  <c r="AK156" i="30"/>
  <c r="M91" i="30"/>
  <c r="K127" i="30"/>
  <c r="AM127" i="30"/>
  <c r="K152" i="30"/>
  <c r="AL75" i="30"/>
  <c r="AK96" i="30"/>
  <c r="AL135" i="30"/>
  <c r="K33" i="30"/>
  <c r="S40" i="30"/>
  <c r="S46" i="30"/>
  <c r="S50" i="30"/>
  <c r="K64" i="30"/>
  <c r="X83" i="30" a="1"/>
  <c r="X83" i="30" s="1"/>
  <c r="AB83" i="30" s="1" a="1"/>
  <c r="AB83" i="30" s="1"/>
  <c r="X88" i="30" a="1"/>
  <c r="X88" i="30" s="1"/>
  <c r="AB88" i="30" s="1" a="1"/>
  <c r="AB88" i="30" s="1"/>
  <c r="S90" i="30"/>
  <c r="M60" i="30"/>
  <c r="AM60" i="30"/>
  <c r="K37" i="30"/>
  <c r="AM37" i="30"/>
  <c r="S56" i="30"/>
  <c r="S62" i="30"/>
  <c r="K160" i="30"/>
  <c r="AM160" i="30"/>
  <c r="S121" i="30"/>
  <c r="S125" i="30"/>
  <c r="K41" i="30"/>
  <c r="AM41" i="30"/>
  <c r="K143" i="30"/>
  <c r="AM143" i="30"/>
  <c r="AK83" i="30"/>
  <c r="AL142" i="30"/>
  <c r="Q24" i="30"/>
  <c r="Q49" i="30"/>
  <c r="AM49" i="30"/>
  <c r="M51" i="30"/>
  <c r="AM51" i="30"/>
  <c r="K79" i="30"/>
  <c r="AM79" i="30"/>
  <c r="AK39" i="30"/>
  <c r="AL83" i="30"/>
  <c r="AK143" i="30"/>
  <c r="S24" i="30"/>
  <c r="K28" i="30"/>
  <c r="S33" i="30"/>
  <c r="M55" i="30"/>
  <c r="AM55" i="30"/>
  <c r="Q61" i="30"/>
  <c r="AM61" i="30"/>
  <c r="S72" i="30"/>
  <c r="K76" i="30"/>
  <c r="K93" i="30"/>
  <c r="AM93" i="30"/>
  <c r="M33" i="30"/>
  <c r="S16" i="30"/>
  <c r="M41" i="30"/>
  <c r="S68" i="30"/>
  <c r="M76" i="30"/>
  <c r="X82" i="30" a="1"/>
  <c r="X82" i="30" s="1"/>
  <c r="AB82" i="30" s="1" a="1"/>
  <c r="AB82" i="30" s="1"/>
  <c r="AM82" i="30"/>
  <c r="S143" i="30"/>
  <c r="M145" i="30"/>
  <c r="Q97" i="30"/>
  <c r="M155" i="30"/>
  <c r="AM155" i="30"/>
  <c r="AK145" i="30"/>
  <c r="AK127" i="30"/>
  <c r="X38" i="30" a="1"/>
  <c r="X38" i="30" s="1"/>
  <c r="AB38" i="30" s="1" a="1"/>
  <c r="AB38" i="30" s="1"/>
  <c r="AM38" i="30"/>
  <c r="S41" i="30"/>
  <c r="K105" i="30"/>
  <c r="S114" i="30"/>
  <c r="S118" i="30"/>
  <c r="Q140" i="30"/>
  <c r="AM140" i="30"/>
  <c r="M157" i="30"/>
  <c r="AK20" i="30"/>
  <c r="AM20" i="30"/>
  <c r="AM16" i="30"/>
  <c r="G16" i="30"/>
  <c r="S102" i="30"/>
  <c r="AL109" i="30"/>
  <c r="S28" i="30"/>
  <c r="S32" i="30"/>
  <c r="S45" i="30"/>
  <c r="AK71" i="30"/>
  <c r="AM71" i="30"/>
  <c r="S93" i="30"/>
  <c r="K109" i="30"/>
  <c r="AM109" i="30"/>
  <c r="AK108" i="30"/>
  <c r="AK89" i="30"/>
  <c r="AK110" i="30"/>
  <c r="M25" i="30"/>
  <c r="AM25" i="30"/>
  <c r="K71" i="30"/>
  <c r="M84" i="30"/>
  <c r="S122" i="30"/>
  <c r="S151" i="30"/>
  <c r="K62" i="30"/>
  <c r="AM62" i="30"/>
  <c r="AK60" i="30"/>
  <c r="Q28" i="30"/>
  <c r="K89" i="30"/>
  <c r="S38" i="30"/>
  <c r="S84" i="30"/>
  <c r="K144" i="30"/>
  <c r="AM144" i="30"/>
  <c r="AM14" i="30"/>
  <c r="K14" i="30"/>
  <c r="P9" i="30"/>
  <c r="AK81" i="30"/>
  <c r="M29" i="30"/>
  <c r="AM29" i="30"/>
  <c r="K42" i="30"/>
  <c r="AM42" i="30"/>
  <c r="M48" i="30"/>
  <c r="AM48" i="30"/>
  <c r="M113" i="30"/>
  <c r="AM113" i="30"/>
  <c r="X19" i="30" a="1"/>
  <c r="X19" i="30" s="1"/>
  <c r="AB19" i="30" s="1" a="1"/>
  <c r="AB19" i="30" s="1"/>
  <c r="F9" i="30"/>
  <c r="AK15" i="30"/>
  <c r="AM15" i="30"/>
  <c r="U9" i="30"/>
  <c r="S17" i="30"/>
  <c r="I46" i="28"/>
  <c r="J46" i="28" s="1"/>
  <c r="J42" i="28"/>
  <c r="J22" i="28"/>
  <c r="J18" i="28"/>
  <c r="J30" i="28"/>
  <c r="S49" i="30"/>
  <c r="AL49" i="30"/>
  <c r="S60" i="30"/>
  <c r="AL60" i="30"/>
  <c r="K94" i="30"/>
  <c r="AK94" i="30"/>
  <c r="X98" i="30" a="1"/>
  <c r="X98" i="30" s="1"/>
  <c r="AB98" i="30" s="1" a="1"/>
  <c r="AB98" i="30" s="1"/>
  <c r="S107" i="30"/>
  <c r="AL107" i="30"/>
  <c r="AK115" i="30"/>
  <c r="S126" i="30"/>
  <c r="AL126" i="30"/>
  <c r="K148" i="30"/>
  <c r="X148" i="30" a="1"/>
  <c r="X148" i="30" s="1"/>
  <c r="AB148" i="30" s="1" a="1"/>
  <c r="AB148" i="30" s="1"/>
  <c r="M37" i="30"/>
  <c r="Q43" i="30"/>
  <c r="Q57" i="30"/>
  <c r="M72" i="30"/>
  <c r="Q86" i="30"/>
  <c r="S88" i="30"/>
  <c r="AL88" i="30"/>
  <c r="X96" i="30" a="1"/>
  <c r="X96" i="30" s="1"/>
  <c r="AB96" i="30" s="1" a="1"/>
  <c r="AB96" i="30" s="1"/>
  <c r="M102" i="30"/>
  <c r="M103" i="30"/>
  <c r="Q108" i="30"/>
  <c r="K113" i="30"/>
  <c r="S117" i="30"/>
  <c r="AK17" i="30"/>
  <c r="M17" i="30"/>
  <c r="AK42" i="30"/>
  <c r="S25" i="30"/>
  <c r="AL25" i="30"/>
  <c r="X26" i="30" a="1"/>
  <c r="X26" i="30" s="1"/>
  <c r="AB26" i="30" s="1" a="1"/>
  <c r="AB26" i="30" s="1"/>
  <c r="S29" i="30"/>
  <c r="S42" i="30"/>
  <c r="X44" i="30" a="1"/>
  <c r="X44" i="30" s="1"/>
  <c r="AB44" i="30" s="1" a="1"/>
  <c r="AB44" i="30" s="1"/>
  <c r="X50" i="30" a="1"/>
  <c r="X50" i="30" s="1"/>
  <c r="AB50" i="30" s="1" a="1"/>
  <c r="AB50" i="30" s="1"/>
  <c r="X58" i="30" a="1"/>
  <c r="X58" i="30" s="1"/>
  <c r="AB58" i="30" s="1" a="1"/>
  <c r="AB58" i="30" s="1"/>
  <c r="M73" i="30"/>
  <c r="AL42" i="30"/>
  <c r="Q23" i="30"/>
  <c r="AL37" i="30"/>
  <c r="S37" i="30"/>
  <c r="X43" i="30" a="1"/>
  <c r="X43" i="30" s="1"/>
  <c r="AB43" i="30" s="1" a="1"/>
  <c r="AB43" i="30" s="1"/>
  <c r="K44" i="30"/>
  <c r="S48" i="30"/>
  <c r="M56" i="30"/>
  <c r="M63" i="30"/>
  <c r="AK63" i="30"/>
  <c r="K67" i="30"/>
  <c r="X100" i="30" a="1"/>
  <c r="X100" i="30" s="1"/>
  <c r="AB100" i="30" s="1" a="1"/>
  <c r="AB100" i="30" s="1"/>
  <c r="X104" i="30" a="1"/>
  <c r="X104" i="30" s="1"/>
  <c r="AB104" i="30" s="1" a="1"/>
  <c r="AB104" i="30" s="1"/>
  <c r="S106" i="30"/>
  <c r="AL106" i="30"/>
  <c r="X114" i="30" a="1"/>
  <c r="X114" i="30" s="1"/>
  <c r="AB114" i="30" s="1" a="1"/>
  <c r="AB114" i="30" s="1"/>
  <c r="K114" i="30"/>
  <c r="X125" i="30" a="1"/>
  <c r="X125" i="30" s="1"/>
  <c r="AB125" i="30" s="1" a="1"/>
  <c r="AB125" i="30" s="1"/>
  <c r="X66" i="30" a="1"/>
  <c r="X66" i="30" s="1"/>
  <c r="AB66" i="30" s="1" a="1"/>
  <c r="AB66" i="30" s="1"/>
  <c r="Q93" i="30"/>
  <c r="S113" i="30"/>
  <c r="X123" i="30" a="1"/>
  <c r="X123" i="30" s="1"/>
  <c r="AB123" i="30" s="1" a="1"/>
  <c r="AB123" i="30" s="1"/>
  <c r="K124" i="30"/>
  <c r="Q156" i="30"/>
  <c r="X156" i="30" a="1"/>
  <c r="X156" i="30" s="1"/>
  <c r="AB156" i="30" s="1" a="1"/>
  <c r="AB156" i="30" s="1"/>
  <c r="M156" i="30"/>
  <c r="AK137" i="30"/>
  <c r="S155" i="30"/>
  <c r="AL155" i="30"/>
  <c r="AL38" i="30"/>
  <c r="S54" i="30"/>
  <c r="AL54" i="30"/>
  <c r="X56" i="30" a="1"/>
  <c r="X56" i="30" s="1"/>
  <c r="AB56" i="30" s="1" a="1"/>
  <c r="AB56" i="30" s="1"/>
  <c r="L9" i="30"/>
  <c r="M27" i="30"/>
  <c r="X27" i="30" a="1"/>
  <c r="X27" i="30" s="1"/>
  <c r="AB27" i="30" s="1" a="1"/>
  <c r="AB27" i="30" s="1"/>
  <c r="K52" i="30"/>
  <c r="Q55" i="30"/>
  <c r="S71" i="30"/>
  <c r="X75" i="30" a="1"/>
  <c r="X75" i="30" s="1"/>
  <c r="AB75" i="30" s="1" a="1"/>
  <c r="AB75" i="30" s="1"/>
  <c r="M90" i="30"/>
  <c r="M94" i="30"/>
  <c r="M99" i="30"/>
  <c r="S101" i="30"/>
  <c r="AL101" i="30"/>
  <c r="X109" i="30" a="1"/>
  <c r="X109" i="30" s="1"/>
  <c r="AB109" i="30" s="1" a="1"/>
  <c r="AB109" i="30" s="1"/>
  <c r="S112" i="30"/>
  <c r="AL112" i="30"/>
  <c r="S47" i="30"/>
  <c r="AL47" i="30"/>
  <c r="AL32" i="30"/>
  <c r="AK55" i="30"/>
  <c r="AL62" i="30"/>
  <c r="K24" i="30"/>
  <c r="K36" i="30"/>
  <c r="K49" i="30"/>
  <c r="S61" i="30"/>
  <c r="M69" i="30"/>
  <c r="X78" i="30" a="1"/>
  <c r="X78" i="30" s="1"/>
  <c r="AB78" i="30" s="1" a="1"/>
  <c r="AB78" i="30" s="1"/>
  <c r="AK78" i="30"/>
  <c r="M98" i="30"/>
  <c r="Q110" i="30"/>
  <c r="X128" i="30" a="1"/>
  <c r="X128" i="30" s="1"/>
  <c r="AB128" i="30" s="1" a="1"/>
  <c r="AB128" i="30" s="1"/>
  <c r="S159" i="30"/>
  <c r="AL159" i="30"/>
  <c r="AL36" i="30"/>
  <c r="S36" i="30"/>
  <c r="Q14" i="30"/>
  <c r="M21" i="30"/>
  <c r="Q32" i="30"/>
  <c r="M38" i="30"/>
  <c r="X40" i="30" a="1"/>
  <c r="X40" i="30" s="1"/>
  <c r="AB40" i="30" s="1" a="1"/>
  <c r="AB40" i="30" s="1"/>
  <c r="M44" i="30"/>
  <c r="K50" i="30"/>
  <c r="S57" i="30"/>
  <c r="K58" i="30"/>
  <c r="AK58" i="30"/>
  <c r="X62" i="30" a="1"/>
  <c r="X62" i="30" s="1"/>
  <c r="AB62" i="30" s="1" a="1"/>
  <c r="AB62" i="30" s="1"/>
  <c r="M68" i="30"/>
  <c r="S73" i="30"/>
  <c r="AL73" i="30"/>
  <c r="S77" i="30"/>
  <c r="AL77" i="30"/>
  <c r="Q78" i="30"/>
  <c r="X79" i="30" a="1"/>
  <c r="X79" i="30" s="1"/>
  <c r="AB79" i="30" s="1" a="1"/>
  <c r="AB79" i="30" s="1"/>
  <c r="K80" i="30"/>
  <c r="M85" i="30"/>
  <c r="S89" i="30"/>
  <c r="AL89" i="30"/>
  <c r="X97" i="30" a="1"/>
  <c r="X97" i="30" s="1"/>
  <c r="AB97" i="30" s="1" a="1"/>
  <c r="AB97" i="30" s="1"/>
  <c r="S98" i="30"/>
  <c r="Q105" i="30"/>
  <c r="M114" i="30"/>
  <c r="S127" i="30"/>
  <c r="AL127" i="30"/>
  <c r="K131" i="30"/>
  <c r="S15" i="30"/>
  <c r="X18" i="30" a="1"/>
  <c r="X18" i="30" s="1"/>
  <c r="AB18" i="30" s="1" a="1"/>
  <c r="AB18" i="30" s="1"/>
  <c r="S21" i="30"/>
  <c r="Q27" i="30"/>
  <c r="X28" i="30" a="1"/>
  <c r="X28" i="30" s="1"/>
  <c r="AB28" i="30" s="1" a="1"/>
  <c r="AB28" i="30" s="1"/>
  <c r="X31" i="30" a="1"/>
  <c r="X31" i="30" s="1"/>
  <c r="AB31" i="30" s="1" a="1"/>
  <c r="AB31" i="30" s="1"/>
  <c r="S39" i="30"/>
  <c r="M43" i="30"/>
  <c r="X46" i="30" a="1"/>
  <c r="X46" i="30" s="1"/>
  <c r="AB46" i="30" s="1" a="1"/>
  <c r="AB46" i="30" s="1"/>
  <c r="Q51" i="30"/>
  <c r="X52" i="30" a="1"/>
  <c r="X52" i="30" s="1"/>
  <c r="AB52" i="30" s="1" a="1"/>
  <c r="AB52" i="30" s="1"/>
  <c r="S55" i="30"/>
  <c r="Q63" i="30"/>
  <c r="Q74" i="30"/>
  <c r="K84" i="30"/>
  <c r="S85" i="30"/>
  <c r="S95" i="30"/>
  <c r="K97" i="30"/>
  <c r="S99" i="30"/>
  <c r="X122" i="30" a="1"/>
  <c r="X122" i="30" s="1"/>
  <c r="AB122" i="30" s="1" a="1"/>
  <c r="AB122" i="30" s="1"/>
  <c r="S128" i="30"/>
  <c r="X132" i="30" a="1"/>
  <c r="X132" i="30" s="1"/>
  <c r="AB132" i="30" s="1" a="1"/>
  <c r="AB132" i="30" s="1"/>
  <c r="M136" i="30"/>
  <c r="Q151" i="30"/>
  <c r="X152" i="30" a="1"/>
  <c r="X152" i="30" s="1"/>
  <c r="AB152" i="30" s="1" a="1"/>
  <c r="AB152" i="30" s="1"/>
  <c r="S156" i="30"/>
  <c r="K156" i="30"/>
  <c r="S158" i="30"/>
  <c r="S140" i="30"/>
  <c r="Q146" i="30"/>
  <c r="X126" i="30" a="1"/>
  <c r="X126" i="30" s="1"/>
  <c r="AB126" i="30" s="1" a="1"/>
  <c r="AB126" i="30" s="1"/>
  <c r="X134" i="30" a="1"/>
  <c r="X134" i="30" s="1"/>
  <c r="AB134" i="30" s="1" a="1"/>
  <c r="AB134" i="30" s="1"/>
  <c r="K140" i="30"/>
  <c r="Q145" i="30"/>
  <c r="K159" i="30"/>
  <c r="S23" i="30"/>
  <c r="M47" i="30"/>
  <c r="S53" i="30"/>
  <c r="K54" i="30"/>
  <c r="K56" i="30"/>
  <c r="M77" i="30"/>
  <c r="M80" i="30"/>
  <c r="X93" i="30" a="1"/>
  <c r="X93" i="30" s="1"/>
  <c r="AB93" i="30" s="1" a="1"/>
  <c r="AB93" i="30" s="1"/>
  <c r="S104" i="30"/>
  <c r="M106" i="30"/>
  <c r="Q113" i="30"/>
  <c r="K118" i="30"/>
  <c r="S119" i="30"/>
  <c r="Q121" i="30"/>
  <c r="K136" i="30"/>
  <c r="M149" i="30"/>
  <c r="S153" i="30"/>
  <c r="Q154" i="30"/>
  <c r="J9" i="30"/>
  <c r="M19" i="30"/>
  <c r="K20" i="30"/>
  <c r="X34" i="30" a="1"/>
  <c r="X34" i="30" s="1"/>
  <c r="AB34" i="30" s="1" a="1"/>
  <c r="AB34" i="30" s="1"/>
  <c r="X35" i="30" a="1"/>
  <c r="X35" i="30" s="1"/>
  <c r="AB35" i="30" s="1" a="1"/>
  <c r="AB35" i="30" s="1"/>
  <c r="Q47" i="30"/>
  <c r="X48" i="30" a="1"/>
  <c r="X48" i="30" s="1"/>
  <c r="AB48" i="30" s="1" a="1"/>
  <c r="AB48" i="30" s="1"/>
  <c r="S51" i="30"/>
  <c r="S58" i="30"/>
  <c r="M59" i="30"/>
  <c r="X60" i="30" a="1"/>
  <c r="X60" i="30" s="1"/>
  <c r="AB60" i="30" s="1" a="1"/>
  <c r="AB60" i="30" s="1"/>
  <c r="S63" i="30"/>
  <c r="M64" i="30"/>
  <c r="X68" i="30" a="1"/>
  <c r="X68" i="30" s="1"/>
  <c r="AB68" i="30" s="1" a="1"/>
  <c r="AB68" i="30" s="1"/>
  <c r="X70" i="30" a="1"/>
  <c r="X70" i="30" s="1"/>
  <c r="AB70" i="30" s="1" a="1"/>
  <c r="AB70" i="30" s="1"/>
  <c r="Q71" i="30"/>
  <c r="X89" i="30" a="1"/>
  <c r="X89" i="30" s="1"/>
  <c r="AB89" i="30" s="1" a="1"/>
  <c r="AB89" i="30" s="1"/>
  <c r="S97" i="30"/>
  <c r="Q102" i="30"/>
  <c r="X112" i="30" a="1"/>
  <c r="X112" i="30" s="1"/>
  <c r="AB112" i="30" s="1" a="1"/>
  <c r="AB112" i="30" s="1"/>
  <c r="K117" i="30"/>
  <c r="M118" i="30"/>
  <c r="Q120" i="30"/>
  <c r="X121" i="30" a="1"/>
  <c r="X121" i="30" s="1"/>
  <c r="AB121" i="30" s="1" a="1"/>
  <c r="AB121" i="30" s="1"/>
  <c r="K122" i="30"/>
  <c r="X129" i="30" a="1"/>
  <c r="X129" i="30" s="1"/>
  <c r="AB129" i="30" s="1" a="1"/>
  <c r="AB129" i="30" s="1"/>
  <c r="S131" i="30"/>
  <c r="Q143" i="30"/>
  <c r="X144" i="30" a="1"/>
  <c r="X144" i="30" s="1"/>
  <c r="AB144" i="30" s="1" a="1"/>
  <c r="AB144" i="30" s="1"/>
  <c r="S147" i="30"/>
  <c r="S148" i="30"/>
  <c r="Q19" i="30"/>
  <c r="M28" i="30"/>
  <c r="Q36" i="30"/>
  <c r="S43" i="30"/>
  <c r="Q45" i="30"/>
  <c r="K46" i="30"/>
  <c r="K48" i="30"/>
  <c r="M52" i="30"/>
  <c r="Q53" i="30"/>
  <c r="X54" i="30" a="1"/>
  <c r="X54" i="30" s="1"/>
  <c r="AB54" i="30" s="1" a="1"/>
  <c r="AB54" i="30" s="1"/>
  <c r="Q59" i="30"/>
  <c r="K60" i="30"/>
  <c r="S69" i="30"/>
  <c r="Q70" i="30"/>
  <c r="K72" i="30"/>
  <c r="S86" i="30"/>
  <c r="X87" i="30" a="1"/>
  <c r="X87" i="30" s="1"/>
  <c r="AB87" i="30" s="1" a="1"/>
  <c r="AB87" i="30" s="1"/>
  <c r="Q89" i="30"/>
  <c r="S96" i="30"/>
  <c r="M97" i="30"/>
  <c r="K101" i="30"/>
  <c r="K102" i="30"/>
  <c r="S103" i="30"/>
  <c r="M111" i="30"/>
  <c r="X113" i="30" a="1"/>
  <c r="X113" i="30" s="1"/>
  <c r="AB113" i="30" s="1" a="1"/>
  <c r="AB113" i="30" s="1"/>
  <c r="X116" i="30" a="1"/>
  <c r="X116" i="30" s="1"/>
  <c r="AB116" i="30" s="1" a="1"/>
  <c r="AB116" i="30" s="1"/>
  <c r="K121" i="30"/>
  <c r="S129" i="30"/>
  <c r="X133" i="30" a="1"/>
  <c r="X133" i="30" s="1"/>
  <c r="AB133" i="30" s="1" a="1"/>
  <c r="AB133" i="30" s="1"/>
  <c r="X135" i="30" a="1"/>
  <c r="X135" i="30" s="1"/>
  <c r="AB135" i="30" s="1" a="1"/>
  <c r="AB135" i="30" s="1"/>
  <c r="Q138" i="30"/>
  <c r="Q139" i="30"/>
  <c r="K22" i="30"/>
  <c r="Q22" i="30"/>
  <c r="K29" i="30"/>
  <c r="S30" i="30"/>
  <c r="M35" i="30"/>
  <c r="M15" i="30"/>
  <c r="K15" i="30"/>
  <c r="S14" i="30"/>
  <c r="N9" i="30"/>
  <c r="AL14" i="30"/>
  <c r="Q17" i="30"/>
  <c r="X17" i="30" a="1"/>
  <c r="X17" i="30" s="1"/>
  <c r="AB17" i="30" s="1" a="1"/>
  <c r="AB17" i="30" s="1"/>
  <c r="K30" i="30"/>
  <c r="Q30" i="30"/>
  <c r="AK30" i="30"/>
  <c r="M34" i="30"/>
  <c r="Q35" i="30"/>
  <c r="X36" i="30" a="1"/>
  <c r="X36" i="30" s="1"/>
  <c r="AB36" i="30" s="1" a="1"/>
  <c r="AB36" i="30" s="1"/>
  <c r="X39" i="30" a="1"/>
  <c r="X39" i="30" s="1"/>
  <c r="AB39" i="30" s="1" a="1"/>
  <c r="AB39" i="30" s="1"/>
  <c r="M40" i="30"/>
  <c r="Q41" i="30"/>
  <c r="AK41" i="30"/>
  <c r="X41" i="30" a="1"/>
  <c r="X41" i="30" s="1"/>
  <c r="AB41" i="30" s="1" a="1"/>
  <c r="AB41" i="30" s="1"/>
  <c r="S19" i="30"/>
  <c r="M20" i="30"/>
  <c r="Q21" i="30"/>
  <c r="X21" i="30" a="1"/>
  <c r="X21" i="30" s="1"/>
  <c r="AB21" i="30" s="1" a="1"/>
  <c r="AB21" i="30" s="1"/>
  <c r="Q25" i="30"/>
  <c r="X25" i="30" a="1"/>
  <c r="X25" i="30" s="1"/>
  <c r="AB25" i="30" s="1" a="1"/>
  <c r="AB25" i="30" s="1"/>
  <c r="AK25" i="30"/>
  <c r="S27" i="30"/>
  <c r="S34" i="30"/>
  <c r="M39" i="30"/>
  <c r="Q29" i="30"/>
  <c r="X29" i="30" a="1"/>
  <c r="X29" i="30" s="1"/>
  <c r="AB29" i="30" s="1" a="1"/>
  <c r="AB29" i="30" s="1"/>
  <c r="K34" i="30"/>
  <c r="Q34" i="30"/>
  <c r="X20" i="30" a="1"/>
  <c r="X20" i="30" s="1"/>
  <c r="AB20" i="30" s="1" a="1"/>
  <c r="AB20" i="30" s="1"/>
  <c r="Q20" i="30"/>
  <c r="M18" i="30"/>
  <c r="M23" i="30"/>
  <c r="M24" i="30"/>
  <c r="M26" i="30"/>
  <c r="M32" i="30"/>
  <c r="Q33" i="30"/>
  <c r="AK33" i="30"/>
  <c r="X33" i="30" a="1"/>
  <c r="X33" i="30" s="1"/>
  <c r="AB33" i="30" s="1" a="1"/>
  <c r="AB33" i="30" s="1"/>
  <c r="K38" i="30"/>
  <c r="Q38" i="30"/>
  <c r="AK22" i="30"/>
  <c r="K17" i="30"/>
  <c r="S18" i="30"/>
  <c r="M22" i="30"/>
  <c r="X22" i="30" a="1"/>
  <c r="X22" i="30" s="1"/>
  <c r="AB22" i="30" s="1" a="1"/>
  <c r="AB22" i="30" s="1"/>
  <c r="S26" i="30"/>
  <c r="M31" i="30"/>
  <c r="S35" i="30"/>
  <c r="K18" i="30"/>
  <c r="Q18" i="30"/>
  <c r="K21" i="30"/>
  <c r="S22" i="30"/>
  <c r="K25" i="30"/>
  <c r="K26" i="30"/>
  <c r="Q26" i="30"/>
  <c r="M30" i="30"/>
  <c r="X30" i="30" a="1"/>
  <c r="X30" i="30" s="1"/>
  <c r="AB30" i="30" s="1" a="1"/>
  <c r="AB30" i="30" s="1"/>
  <c r="X32" i="30" a="1"/>
  <c r="X32" i="30" s="1"/>
  <c r="AB32" i="30" s="1" a="1"/>
  <c r="AB32" i="30" s="1"/>
  <c r="M36" i="30"/>
  <c r="Q37" i="30"/>
  <c r="X37" i="30" a="1"/>
  <c r="X37" i="30" s="1"/>
  <c r="AB37" i="30" s="1" a="1"/>
  <c r="AB37" i="30" s="1"/>
  <c r="X24" i="30" a="1"/>
  <c r="X24" i="30" s="1"/>
  <c r="AB24" i="30" s="1" a="1"/>
  <c r="AB24" i="30" s="1"/>
  <c r="Q65" i="30"/>
  <c r="X65" i="30" a="1"/>
  <c r="X65" i="30" s="1"/>
  <c r="AB65" i="30" s="1" a="1"/>
  <c r="AB65" i="30" s="1"/>
  <c r="K65" i="30"/>
  <c r="S70" i="30"/>
  <c r="X71" i="30" a="1"/>
  <c r="X71" i="30" s="1"/>
  <c r="AB71" i="30" s="1" a="1"/>
  <c r="AB71" i="30" s="1"/>
  <c r="K74" i="30"/>
  <c r="M74" i="30"/>
  <c r="Q75" i="30"/>
  <c r="X76" i="30" a="1"/>
  <c r="X76" i="30" s="1"/>
  <c r="AB76" i="30" s="1" a="1"/>
  <c r="AB76" i="30" s="1"/>
  <c r="Q81" i="30"/>
  <c r="X81" i="30" a="1"/>
  <c r="X81" i="30" s="1"/>
  <c r="AB81" i="30" s="1" a="1"/>
  <c r="AB81" i="30" s="1"/>
  <c r="K81" i="30"/>
  <c r="X84" i="30" a="1"/>
  <c r="X84" i="30" s="1"/>
  <c r="AB84" i="30" s="1" a="1"/>
  <c r="AB84" i="30" s="1"/>
  <c r="M87" i="30"/>
  <c r="X92" i="30" a="1"/>
  <c r="X92" i="30" s="1"/>
  <c r="AB92" i="30" s="1" a="1"/>
  <c r="AB92" i="30" s="1"/>
  <c r="M42" i="30"/>
  <c r="Q44" i="30"/>
  <c r="M46" i="30"/>
  <c r="Q48" i="30"/>
  <c r="M50" i="30"/>
  <c r="Q52" i="30"/>
  <c r="K53" i="30"/>
  <c r="M54" i="30"/>
  <c r="Q56" i="30"/>
  <c r="K57" i="30"/>
  <c r="M58" i="30"/>
  <c r="Q60" i="30"/>
  <c r="K61" i="30"/>
  <c r="M62" i="30"/>
  <c r="M67" i="30"/>
  <c r="S82" i="30"/>
  <c r="S87" i="30"/>
  <c r="Q90" i="30"/>
  <c r="Q92" i="30"/>
  <c r="X47" i="30" a="1"/>
  <c r="X47" i="30" s="1"/>
  <c r="AB47" i="30" s="1" a="1"/>
  <c r="AB47" i="30" s="1"/>
  <c r="X51" i="30" a="1"/>
  <c r="X51" i="30" s="1"/>
  <c r="AB51" i="30" s="1" a="1"/>
  <c r="AB51" i="30" s="1"/>
  <c r="X55" i="30" a="1"/>
  <c r="X55" i="30" s="1"/>
  <c r="AB55" i="30" s="1" a="1"/>
  <c r="AB55" i="30" s="1"/>
  <c r="X59" i="30" a="1"/>
  <c r="X59" i="30" s="1"/>
  <c r="AB59" i="30" s="1" a="1"/>
  <c r="AB59" i="30" s="1"/>
  <c r="X63" i="30" a="1"/>
  <c r="X63" i="30" s="1"/>
  <c r="AB63" i="30" s="1" a="1"/>
  <c r="AB63" i="30" s="1"/>
  <c r="S66" i="30"/>
  <c r="X67" i="30" a="1"/>
  <c r="X67" i="30" s="1"/>
  <c r="AB67" i="30" s="1" a="1"/>
  <c r="AB67" i="30" s="1"/>
  <c r="K70" i="30"/>
  <c r="M70" i="30"/>
  <c r="M83" i="30"/>
  <c r="Q83" i="30"/>
  <c r="Q87" i="30"/>
  <c r="K87" i="30"/>
  <c r="M45" i="30"/>
  <c r="M49" i="30"/>
  <c r="M53" i="30"/>
  <c r="M57" i="30"/>
  <c r="M61" i="30"/>
  <c r="Q67" i="30"/>
  <c r="K82" i="30"/>
  <c r="M82" i="30"/>
  <c r="X42" i="30" a="1"/>
  <c r="X42" i="30" s="1"/>
  <c r="AB42" i="30" s="1" a="1"/>
  <c r="AB42" i="30" s="1"/>
  <c r="K66" i="30"/>
  <c r="M66" i="30"/>
  <c r="Q77" i="30"/>
  <c r="X77" i="30" a="1"/>
  <c r="X77" i="30" s="1"/>
  <c r="AB77" i="30" s="1" a="1"/>
  <c r="AB77" i="30" s="1"/>
  <c r="K77" i="30"/>
  <c r="Q82" i="30"/>
  <c r="Q85" i="30"/>
  <c r="X85" i="30" a="1"/>
  <c r="X85" i="30" s="1"/>
  <c r="AB85" i="30" s="1" a="1"/>
  <c r="AB85" i="30" s="1"/>
  <c r="K85" i="30"/>
  <c r="K19" i="30"/>
  <c r="K23" i="30"/>
  <c r="K27" i="30"/>
  <c r="K31" i="30"/>
  <c r="K35" i="30"/>
  <c r="K39" i="30"/>
  <c r="Q42" i="30"/>
  <c r="K43" i="30"/>
  <c r="Q46" i="30"/>
  <c r="K47" i="30"/>
  <c r="Q50" i="30"/>
  <c r="K51" i="30"/>
  <c r="Q54" i="30"/>
  <c r="K55" i="30"/>
  <c r="Q58" i="30"/>
  <c r="K59" i="30"/>
  <c r="Q62" i="30"/>
  <c r="K63" i="30"/>
  <c r="Q66" i="30"/>
  <c r="Q73" i="30"/>
  <c r="X73" i="30" a="1"/>
  <c r="X73" i="30" s="1"/>
  <c r="AB73" i="30" s="1" a="1"/>
  <c r="AB73" i="30" s="1"/>
  <c r="K73" i="30"/>
  <c r="S78" i="30"/>
  <c r="K83" i="30"/>
  <c r="K88" i="30"/>
  <c r="Q88" i="30"/>
  <c r="X45" i="30" a="1"/>
  <c r="X45" i="30" s="1"/>
  <c r="AB45" i="30" s="1" a="1"/>
  <c r="AB45" i="30" s="1"/>
  <c r="X49" i="30" a="1"/>
  <c r="X49" i="30" s="1"/>
  <c r="AB49" i="30" s="1" a="1"/>
  <c r="AB49" i="30" s="1"/>
  <c r="X53" i="30" a="1"/>
  <c r="X53" i="30" s="1"/>
  <c r="AB53" i="30" s="1" a="1"/>
  <c r="AB53" i="30" s="1"/>
  <c r="X57" i="30" a="1"/>
  <c r="X57" i="30" s="1"/>
  <c r="AB57" i="30" s="1" a="1"/>
  <c r="AB57" i="30" s="1"/>
  <c r="X61" i="30" a="1"/>
  <c r="X61" i="30" s="1"/>
  <c r="AB61" i="30" s="1" a="1"/>
  <c r="AB61" i="30" s="1"/>
  <c r="Q64" i="30"/>
  <c r="M65" i="30"/>
  <c r="S74" i="30"/>
  <c r="X74" i="30" a="1"/>
  <c r="X74" i="30" s="1"/>
  <c r="AB74" i="30" s="1" a="1"/>
  <c r="AB74" i="30" s="1"/>
  <c r="M75" i="30"/>
  <c r="Q76" i="30"/>
  <c r="M79" i="30"/>
  <c r="Q79" i="30"/>
  <c r="M81" i="30"/>
  <c r="AL46" i="30"/>
  <c r="X64" i="30" a="1"/>
  <c r="X64" i="30" s="1"/>
  <c r="AB64" i="30" s="1" a="1"/>
  <c r="AB64" i="30" s="1"/>
  <c r="S65" i="30"/>
  <c r="Q69" i="30"/>
  <c r="X69" i="30" a="1"/>
  <c r="X69" i="30" s="1"/>
  <c r="AB69" i="30" s="1" a="1"/>
  <c r="AB69" i="30" s="1"/>
  <c r="K69" i="30"/>
  <c r="M71" i="30"/>
  <c r="X72" i="30" a="1"/>
  <c r="X72" i="30" s="1"/>
  <c r="AB72" i="30" s="1" a="1"/>
  <c r="AB72" i="30" s="1"/>
  <c r="K78" i="30"/>
  <c r="M78" i="30"/>
  <c r="S81" i="30"/>
  <c r="Q68" i="30"/>
  <c r="Q72" i="30"/>
  <c r="Q80" i="30"/>
  <c r="Q84" i="30"/>
  <c r="X86" i="30" a="1"/>
  <c r="X86" i="30" s="1"/>
  <c r="AB86" i="30" s="1" a="1"/>
  <c r="AB86" i="30" s="1"/>
  <c r="Q94" i="30"/>
  <c r="S100" i="30"/>
  <c r="M101" i="30"/>
  <c r="X101" i="30" a="1"/>
  <c r="X101" i="30" s="1"/>
  <c r="AB101" i="30" s="1" a="1"/>
  <c r="AB101" i="30" s="1"/>
  <c r="Q101" i="30"/>
  <c r="K100" i="30"/>
  <c r="M100" i="30"/>
  <c r="Q106" i="30"/>
  <c r="X106" i="30" a="1"/>
  <c r="X106" i="30" s="1"/>
  <c r="AB106" i="30" s="1" a="1"/>
  <c r="AB106" i="30" s="1"/>
  <c r="K106" i="30"/>
  <c r="M110" i="30"/>
  <c r="K110" i="30"/>
  <c r="S91" i="30"/>
  <c r="Q95" i="30"/>
  <c r="X95" i="30" a="1"/>
  <c r="X95" i="30" s="1"/>
  <c r="AB95" i="30" s="1" a="1"/>
  <c r="AB95" i="30" s="1"/>
  <c r="K95" i="30"/>
  <c r="Q100" i="30"/>
  <c r="Q103" i="30"/>
  <c r="X103" i="30" a="1"/>
  <c r="X103" i="30" s="1"/>
  <c r="AB103" i="30" s="1" a="1"/>
  <c r="AB103" i="30" s="1"/>
  <c r="K103" i="30"/>
  <c r="Q91" i="30"/>
  <c r="X91" i="30" a="1"/>
  <c r="X91" i="30" s="1"/>
  <c r="AB91" i="30" s="1" a="1"/>
  <c r="AB91" i="30" s="1"/>
  <c r="K91" i="30"/>
  <c r="K86" i="30"/>
  <c r="S92" i="30"/>
  <c r="M93" i="30"/>
  <c r="X94" i="30" a="1"/>
  <c r="X94" i="30" s="1"/>
  <c r="AB94" i="30" s="1" a="1"/>
  <c r="AB94" i="30" s="1"/>
  <c r="Q98" i="30"/>
  <c r="X105" i="30" a="1"/>
  <c r="X105" i="30" s="1"/>
  <c r="AB105" i="30" s="1" a="1"/>
  <c r="AB105" i="30" s="1"/>
  <c r="M89" i="30"/>
  <c r="X90" i="30" a="1"/>
  <c r="X90" i="30" s="1"/>
  <c r="AB90" i="30" s="1" a="1"/>
  <c r="AB90" i="30" s="1"/>
  <c r="K96" i="30"/>
  <c r="M96" i="30"/>
  <c r="X102" i="30" a="1"/>
  <c r="X102" i="30" s="1"/>
  <c r="AB102" i="30" s="1" a="1"/>
  <c r="AB102" i="30" s="1"/>
  <c r="K104" i="30"/>
  <c r="M104" i="30"/>
  <c r="M86" i="30"/>
  <c r="K92" i="30"/>
  <c r="M92" i="30"/>
  <c r="Q96" i="30"/>
  <c r="Q99" i="30"/>
  <c r="X99" i="30" a="1"/>
  <c r="X99" i="30" s="1"/>
  <c r="AB99" i="30" s="1" a="1"/>
  <c r="AB99" i="30" s="1"/>
  <c r="K99" i="30"/>
  <c r="Q104" i="30"/>
  <c r="Q107" i="30"/>
  <c r="X107" i="30" a="1"/>
  <c r="X107" i="30" s="1"/>
  <c r="AB107" i="30" s="1" a="1"/>
  <c r="AB107" i="30" s="1"/>
  <c r="X110" i="30" a="1"/>
  <c r="X110" i="30" s="1"/>
  <c r="AB110" i="30" s="1" a="1"/>
  <c r="AB110" i="30" s="1"/>
  <c r="Q112" i="30"/>
  <c r="S115" i="30"/>
  <c r="K120" i="30"/>
  <c r="M120" i="30"/>
  <c r="M124" i="30"/>
  <c r="S130" i="30"/>
  <c r="X131" i="30" a="1"/>
  <c r="X131" i="30" s="1"/>
  <c r="AB131" i="30" s="1" a="1"/>
  <c r="AB131" i="30" s="1"/>
  <c r="M139" i="30"/>
  <c r="K139" i="30"/>
  <c r="Q111" i="30"/>
  <c r="X111" i="30" a="1"/>
  <c r="X111" i="30" s="1"/>
  <c r="AB111" i="30" s="1" a="1"/>
  <c r="AB111" i="30" s="1"/>
  <c r="Q115" i="30"/>
  <c r="X115" i="30" a="1"/>
  <c r="X115" i="30" s="1"/>
  <c r="AB115" i="30" s="1" a="1"/>
  <c r="AB115" i="30" s="1"/>
  <c r="K115" i="30"/>
  <c r="X118" i="30" a="1"/>
  <c r="X118" i="30" s="1"/>
  <c r="AB118" i="30" s="1" a="1"/>
  <c r="AB118" i="30" s="1"/>
  <c r="S123" i="30"/>
  <c r="M147" i="30"/>
  <c r="Q147" i="30"/>
  <c r="K147" i="30"/>
  <c r="S116" i="30"/>
  <c r="M117" i="30"/>
  <c r="X117" i="30" a="1"/>
  <c r="X117" i="30" s="1"/>
  <c r="AB117" i="30" s="1" a="1"/>
  <c r="AB117" i="30" s="1"/>
  <c r="X124" i="30" a="1"/>
  <c r="X124" i="30" s="1"/>
  <c r="AB124" i="30" s="1" a="1"/>
  <c r="AB124" i="30" s="1"/>
  <c r="Q124" i="30"/>
  <c r="M128" i="30"/>
  <c r="K130" i="30"/>
  <c r="M130" i="30"/>
  <c r="Q130" i="30"/>
  <c r="Q117" i="30"/>
  <c r="Q118" i="30"/>
  <c r="M123" i="30"/>
  <c r="K123" i="30"/>
  <c r="K134" i="30"/>
  <c r="M134" i="30"/>
  <c r="K142" i="30"/>
  <c r="X142" i="30" a="1"/>
  <c r="X142" i="30" s="1"/>
  <c r="AB142" i="30" s="1" a="1"/>
  <c r="AB142" i="30" s="1"/>
  <c r="M142" i="30"/>
  <c r="K150" i="30"/>
  <c r="X150" i="30" a="1"/>
  <c r="X150" i="30" s="1"/>
  <c r="AB150" i="30" s="1" a="1"/>
  <c r="AB150" i="30" s="1"/>
  <c r="M150" i="30"/>
  <c r="Q150" i="30"/>
  <c r="K116" i="30"/>
  <c r="M116" i="30"/>
  <c r="Q123" i="30"/>
  <c r="M125" i="30"/>
  <c r="Q128" i="30"/>
  <c r="K128" i="30"/>
  <c r="Q134" i="30"/>
  <c r="Q142" i="30"/>
  <c r="K107" i="30"/>
  <c r="M108" i="30"/>
  <c r="Q116" i="30"/>
  <c r="Q119" i="30"/>
  <c r="X119" i="30" a="1"/>
  <c r="X119" i="30" s="1"/>
  <c r="AB119" i="30" s="1" a="1"/>
  <c r="AB119" i="30" s="1"/>
  <c r="K119" i="30"/>
  <c r="M129" i="30"/>
  <c r="S108" i="30"/>
  <c r="K111" i="30"/>
  <c r="Q114" i="30"/>
  <c r="S120" i="30"/>
  <c r="X120" i="30" a="1"/>
  <c r="X120" i="30" s="1"/>
  <c r="AB120" i="30" s="1" a="1"/>
  <c r="AB120" i="30" s="1"/>
  <c r="M121" i="30"/>
  <c r="Q125" i="30"/>
  <c r="K125" i="30"/>
  <c r="S139" i="30"/>
  <c r="X147" i="30" a="1"/>
  <c r="X147" i="30" s="1"/>
  <c r="AB147" i="30" s="1" a="1"/>
  <c r="AB147" i="30" s="1"/>
  <c r="M105" i="30"/>
  <c r="M107" i="30"/>
  <c r="K108" i="30"/>
  <c r="M109" i="30"/>
  <c r="K112" i="30"/>
  <c r="M112" i="30"/>
  <c r="M115" i="30"/>
  <c r="Q122" i="30"/>
  <c r="X127" i="30" a="1"/>
  <c r="X127" i="30" s="1"/>
  <c r="AB127" i="30" s="1" a="1"/>
  <c r="AB127" i="30" s="1"/>
  <c r="Q127" i="30"/>
  <c r="Q129" i="30"/>
  <c r="K129" i="30"/>
  <c r="X130" i="30" a="1"/>
  <c r="X130" i="30" s="1"/>
  <c r="AB130" i="30" s="1" a="1"/>
  <c r="AB130" i="30" s="1"/>
  <c r="Q131" i="30"/>
  <c r="Q133" i="30"/>
  <c r="K133" i="30"/>
  <c r="M133" i="30"/>
  <c r="M135" i="30"/>
  <c r="Q135" i="30"/>
  <c r="K135" i="30"/>
  <c r="X139" i="30" a="1"/>
  <c r="X139" i="30" s="1"/>
  <c r="AB139" i="30" s="1" a="1"/>
  <c r="AB139" i="30" s="1"/>
  <c r="Q132" i="30"/>
  <c r="S134" i="30"/>
  <c r="Q137" i="30"/>
  <c r="K137" i="30"/>
  <c r="K138" i="30"/>
  <c r="M138" i="30"/>
  <c r="Q141" i="30"/>
  <c r="Q149" i="30"/>
  <c r="K155" i="30"/>
  <c r="Q157" i="30"/>
  <c r="Q160" i="30"/>
  <c r="M148" i="30"/>
  <c r="S150" i="30"/>
  <c r="Q159" i="30"/>
  <c r="Q148" i="30"/>
  <c r="X155" i="30" a="1"/>
  <c r="X155" i="30" s="1"/>
  <c r="AB155" i="30" s="1" a="1"/>
  <c r="AB155" i="30" s="1"/>
  <c r="K158" i="30"/>
  <c r="X158" i="30" a="1"/>
  <c r="X158" i="30" s="1"/>
  <c r="AB158" i="30" s="1" a="1"/>
  <c r="AB158" i="30" s="1"/>
  <c r="M158" i="30"/>
  <c r="Q153" i="30"/>
  <c r="Q158" i="30"/>
  <c r="M131" i="30"/>
  <c r="K132" i="30"/>
  <c r="M144" i="30"/>
  <c r="S146" i="30"/>
  <c r="M152" i="30"/>
  <c r="S154" i="30"/>
  <c r="Q155" i="30"/>
  <c r="M160" i="30"/>
  <c r="K126" i="30"/>
  <c r="M126" i="30"/>
  <c r="Q136" i="30"/>
  <c r="M137" i="30"/>
  <c r="S138" i="30"/>
  <c r="Q144" i="30"/>
  <c r="Q152" i="30"/>
  <c r="Q126" i="30"/>
  <c r="M127" i="30"/>
  <c r="M132" i="30"/>
  <c r="X136" i="30" a="1"/>
  <c r="X136" i="30" s="1"/>
  <c r="AB136" i="30" s="1" a="1"/>
  <c r="AB136" i="30" s="1"/>
  <c r="S137" i="30"/>
  <c r="X137" i="30" a="1"/>
  <c r="X137" i="30" s="1"/>
  <c r="AB137" i="30" s="1" a="1"/>
  <c r="AB137" i="30" s="1"/>
  <c r="X138" i="30" a="1"/>
  <c r="X138" i="30" s="1"/>
  <c r="AB138" i="30" s="1" a="1"/>
  <c r="AB138" i="30" s="1"/>
  <c r="S141" i="30"/>
  <c r="M143" i="30"/>
  <c r="X143" i="30" a="1"/>
  <c r="X143" i="30" s="1"/>
  <c r="AB143" i="30" s="1" a="1"/>
  <c r="AB143" i="30" s="1"/>
  <c r="K146" i="30"/>
  <c r="X146" i="30" a="1"/>
  <c r="X146" i="30" s="1"/>
  <c r="AB146" i="30" s="1" a="1"/>
  <c r="AB146" i="30" s="1"/>
  <c r="M146" i="30"/>
  <c r="S149" i="30"/>
  <c r="M151" i="30"/>
  <c r="X151" i="30" a="1"/>
  <c r="X151" i="30" s="1"/>
  <c r="AB151" i="30" s="1" a="1"/>
  <c r="AB151" i="30" s="1"/>
  <c r="K154" i="30"/>
  <c r="X154" i="30" a="1"/>
  <c r="X154" i="30" s="1"/>
  <c r="AB154" i="30" s="1" a="1"/>
  <c r="AB154" i="30" s="1"/>
  <c r="M154" i="30"/>
  <c r="S157" i="30"/>
  <c r="M159" i="30"/>
  <c r="X159" i="30" a="1"/>
  <c r="X159" i="30" s="1"/>
  <c r="AB159" i="30" s="1" a="1"/>
  <c r="AB159" i="30" s="1"/>
  <c r="X160" i="30" a="1"/>
  <c r="X160" i="30" s="1"/>
  <c r="AB160" i="30" s="1" a="1"/>
  <c r="AB160" i="30" s="1"/>
  <c r="K141" i="30"/>
  <c r="K145" i="30"/>
  <c r="K149" i="30"/>
  <c r="K153" i="30"/>
  <c r="K157" i="30"/>
  <c r="X141" i="30" a="1"/>
  <c r="X141" i="30" s="1"/>
  <c r="AB141" i="30" s="1" a="1"/>
  <c r="AB141" i="30" s="1"/>
  <c r="X145" i="30" a="1"/>
  <c r="X145" i="30" s="1"/>
  <c r="AB145" i="30" s="1" a="1"/>
  <c r="AB145" i="30" s="1"/>
  <c r="X149" i="30" a="1"/>
  <c r="X149" i="30" s="1"/>
  <c r="AB149" i="30" s="1" a="1"/>
  <c r="AB149" i="30" s="1"/>
  <c r="X153" i="30" a="1"/>
  <c r="X153" i="30" s="1"/>
  <c r="AB153" i="30" s="1" a="1"/>
  <c r="AB153" i="30" s="1"/>
  <c r="X157" i="30" a="1"/>
  <c r="X157" i="30" s="1"/>
  <c r="AB157" i="30" s="1" a="1"/>
  <c r="AB157" i="30" s="1"/>
  <c r="H9" i="30"/>
  <c r="I9" i="30"/>
  <c r="AK21" i="30"/>
  <c r="AL18" i="30"/>
  <c r="AK19" i="30"/>
  <c r="AK18" i="30"/>
  <c r="AL24" i="30"/>
  <c r="AL16" i="30"/>
  <c r="AK24" i="30"/>
  <c r="AK16" i="30"/>
  <c r="O9" i="30"/>
  <c r="AL21" i="30"/>
  <c r="AL27" i="30"/>
  <c r="AL51" i="30"/>
  <c r="AL61" i="30"/>
  <c r="AK62" i="30"/>
  <c r="AK64" i="30"/>
  <c r="AL40" i="30"/>
  <c r="AL48" i="30"/>
  <c r="AK51" i="30"/>
  <c r="AK40" i="30"/>
  <c r="AL45" i="30"/>
  <c r="AK46" i="30"/>
  <c r="AK48" i="30"/>
  <c r="AK61" i="30"/>
  <c r="AL59" i="30"/>
  <c r="AL69" i="30"/>
  <c r="AK70" i="30"/>
  <c r="AK26" i="30"/>
  <c r="AK45" i="30"/>
  <c r="AL56" i="30"/>
  <c r="AK59" i="30"/>
  <c r="AL26" i="30"/>
  <c r="AK29" i="30"/>
  <c r="AL43" i="30"/>
  <c r="AL53" i="30"/>
  <c r="AK54" i="30"/>
  <c r="AK56" i="30"/>
  <c r="AK69" i="30"/>
  <c r="AL29" i="30"/>
  <c r="AK35" i="30"/>
  <c r="AK36" i="30"/>
  <c r="AK37" i="30"/>
  <c r="AK43" i="30"/>
  <c r="AL67" i="30"/>
  <c r="AK34" i="30"/>
  <c r="AK53" i="30"/>
  <c r="AL64" i="30"/>
  <c r="AK67" i="30"/>
  <c r="AK74" i="30"/>
  <c r="AK77" i="30"/>
  <c r="AK87" i="30"/>
  <c r="AL95" i="30"/>
  <c r="AK98" i="30"/>
  <c r="AL84" i="30"/>
  <c r="AK85" i="30"/>
  <c r="AK95" i="30"/>
  <c r="AL92" i="30"/>
  <c r="AK93" i="30"/>
  <c r="AK84" i="30"/>
  <c r="AL79" i="30"/>
  <c r="AK92" i="30"/>
  <c r="AK72" i="30"/>
  <c r="AK79" i="30"/>
  <c r="AL82" i="30"/>
  <c r="AL90" i="30"/>
  <c r="AK99" i="30"/>
  <c r="AL72" i="30"/>
  <c r="AK82" i="30"/>
  <c r="AK90" i="30"/>
  <c r="AL76" i="30"/>
  <c r="AL87" i="30"/>
  <c r="AL98" i="30"/>
  <c r="AK109" i="30"/>
  <c r="AL114" i="30"/>
  <c r="AK125" i="30"/>
  <c r="AK114" i="30"/>
  <c r="AL111" i="30"/>
  <c r="AL119" i="30"/>
  <c r="AL123" i="30"/>
  <c r="AK128" i="30"/>
  <c r="AK104" i="30"/>
  <c r="AK106" i="30"/>
  <c r="AK111" i="30"/>
  <c r="AK119" i="30"/>
  <c r="AK123" i="30"/>
  <c r="AK100" i="30"/>
  <c r="AK101" i="30"/>
  <c r="AK103" i="30"/>
  <c r="AK105" i="30"/>
  <c r="AL116" i="30"/>
  <c r="AK117" i="30"/>
  <c r="AL103" i="30"/>
  <c r="AL105" i="30"/>
  <c r="AL108" i="30"/>
  <c r="AK116" i="30"/>
  <c r="AK121" i="30"/>
  <c r="AK131" i="30"/>
  <c r="AL144" i="30"/>
  <c r="AL128" i="30"/>
  <c r="AL138" i="30"/>
  <c r="AK129" i="30"/>
  <c r="AL134" i="30"/>
  <c r="AL146" i="30"/>
  <c r="AK134" i="30"/>
  <c r="AK138" i="30"/>
  <c r="AK133" i="30"/>
  <c r="AL139" i="30"/>
  <c r="AK126" i="30"/>
  <c r="AL133" i="30"/>
  <c r="AK139" i="30"/>
  <c r="AL125" i="30"/>
  <c r="AL131" i="30"/>
  <c r="AK136" i="30"/>
  <c r="AK142" i="30"/>
  <c r="AL154" i="30"/>
  <c r="AK160" i="30"/>
  <c r="AK150" i="30"/>
  <c r="AK158" i="30"/>
  <c r="AK147" i="30"/>
  <c r="AL152" i="30"/>
  <c r="AK155" i="30"/>
  <c r="AK144" i="30"/>
  <c r="AK146" i="30"/>
  <c r="AL160" i="30"/>
  <c r="AL136" i="30"/>
  <c r="AK152" i="30"/>
  <c r="AK154" i="30"/>
  <c r="AL141" i="30"/>
  <c r="AL149" i="30"/>
  <c r="AL157" i="30"/>
  <c r="R14" i="30" l="1"/>
  <c r="R152" i="30"/>
  <c r="R91" i="30"/>
  <c r="Y82" i="30" a="1"/>
  <c r="Y82" i="30" s="1"/>
  <c r="Y140" i="30" a="1"/>
  <c r="Y140" i="30" s="1"/>
  <c r="AA23" i="30" a="1"/>
  <c r="AA23" i="30" s="1"/>
  <c r="Z23" i="30" a="1"/>
  <c r="Z23" i="30" s="1"/>
  <c r="Y80" i="30" a="1"/>
  <c r="Y80" i="30" s="1"/>
  <c r="R119" i="30"/>
  <c r="AA80" i="30" a="1"/>
  <c r="AA80" i="30" s="1"/>
  <c r="Z80" i="30" a="1"/>
  <c r="Z80" i="30" s="1"/>
  <c r="R28" i="30"/>
  <c r="Z140" i="30" a="1"/>
  <c r="Z140" i="30" s="1"/>
  <c r="AA140" i="30" a="1"/>
  <c r="AA140" i="30" s="1"/>
  <c r="Y108" i="30" a="1"/>
  <c r="Y108" i="30" s="1"/>
  <c r="R62" i="30"/>
  <c r="R71" i="30"/>
  <c r="Y23" i="30" a="1"/>
  <c r="Y23" i="30" s="1"/>
  <c r="R63" i="30"/>
  <c r="R99" i="30"/>
  <c r="R141" i="30"/>
  <c r="R64" i="30"/>
  <c r="R32" i="30"/>
  <c r="R93" i="30"/>
  <c r="AA38" i="30" a="1"/>
  <c r="AA38" i="30" s="1"/>
  <c r="R45" i="30"/>
  <c r="Z38" i="30" a="1"/>
  <c r="Z38" i="30" s="1"/>
  <c r="R75" i="30"/>
  <c r="Y38" i="30" a="1"/>
  <c r="Y38" i="30" s="1"/>
  <c r="R151" i="30"/>
  <c r="R73" i="30"/>
  <c r="Y83" i="30" a="1"/>
  <c r="Y83" i="30" s="1"/>
  <c r="R20" i="30"/>
  <c r="R69" i="30"/>
  <c r="R117" i="30"/>
  <c r="AA88" i="30" a="1"/>
  <c r="AA88" i="30" s="1"/>
  <c r="R95" i="30"/>
  <c r="R102" i="30"/>
  <c r="R89" i="30"/>
  <c r="R105" i="30"/>
  <c r="R121" i="30"/>
  <c r="R41" i="30"/>
  <c r="AA82" i="30" a="1"/>
  <c r="AA82" i="30" s="1"/>
  <c r="R143" i="30"/>
  <c r="R127" i="30"/>
  <c r="R122" i="30"/>
  <c r="R87" i="30"/>
  <c r="R98" i="30"/>
  <c r="R153" i="30"/>
  <c r="Z82" i="30" a="1"/>
  <c r="Z82" i="30" s="1"/>
  <c r="R42" i="30"/>
  <c r="Z108" i="30" a="1"/>
  <c r="Z108" i="30" s="1"/>
  <c r="R101" i="30"/>
  <c r="R76" i="30"/>
  <c r="AA108" i="30" a="1"/>
  <c r="AA108" i="30" s="1"/>
  <c r="R33" i="30"/>
  <c r="R43" i="30"/>
  <c r="R44" i="30"/>
  <c r="R37" i="30"/>
  <c r="R160" i="30"/>
  <c r="R19" i="30"/>
  <c r="R60" i="30"/>
  <c r="R144" i="30"/>
  <c r="R88" i="30"/>
  <c r="R68" i="30"/>
  <c r="R80" i="30"/>
  <c r="R111" i="30"/>
  <c r="R72" i="30"/>
  <c r="R77" i="30"/>
  <c r="R48" i="30"/>
  <c r="R140" i="30"/>
  <c r="R113" i="30"/>
  <c r="R90" i="30"/>
  <c r="R106" i="30"/>
  <c r="R51" i="30"/>
  <c r="R40" i="30"/>
  <c r="R109" i="30"/>
  <c r="R155" i="30"/>
  <c r="R79" i="30"/>
  <c r="R157" i="30"/>
  <c r="R24" i="30"/>
  <c r="Y88" i="30" a="1"/>
  <c r="Y88" i="30" s="1"/>
  <c r="R25" i="30"/>
  <c r="R84" i="30"/>
  <c r="Z83" i="30" a="1"/>
  <c r="Z83" i="30" s="1"/>
  <c r="R103" i="30"/>
  <c r="AA83" i="30" a="1"/>
  <c r="AA83" i="30" s="1"/>
  <c r="R55" i="30"/>
  <c r="R65" i="30"/>
  <c r="R29" i="30"/>
  <c r="R145" i="30"/>
  <c r="Z88" i="30" a="1"/>
  <c r="Z88" i="30" s="1"/>
  <c r="Z133" i="30" a="1"/>
  <c r="Z133" i="30" s="1"/>
  <c r="Z125" i="30" a="1"/>
  <c r="Z125" i="30" s="1"/>
  <c r="AA56" i="30" a="1"/>
  <c r="AA56" i="30" s="1"/>
  <c r="Y129" i="30" a="1"/>
  <c r="Y129" i="30" s="1"/>
  <c r="Y114" i="30" a="1"/>
  <c r="Y114" i="30" s="1"/>
  <c r="Y98" i="30" a="1"/>
  <c r="Y98" i="30" s="1"/>
  <c r="Y54" i="30" a="1"/>
  <c r="Y54" i="30" s="1"/>
  <c r="Y62" i="30" a="1"/>
  <c r="Y62" i="30" s="1"/>
  <c r="AA58" i="30" a="1"/>
  <c r="AA58" i="30" s="1"/>
  <c r="Z96" i="30" a="1"/>
  <c r="Z96" i="30" s="1"/>
  <c r="Z113" i="30" a="1"/>
  <c r="Z113" i="30" s="1"/>
  <c r="AA121" i="30" a="1"/>
  <c r="AA121" i="30" s="1"/>
  <c r="Y50" i="30" a="1"/>
  <c r="Y50" i="30" s="1"/>
  <c r="AA48" i="30" a="1"/>
  <c r="AA48" i="30" s="1"/>
  <c r="AA44" i="30" a="1"/>
  <c r="AA44" i="30" s="1"/>
  <c r="Y52" i="30" a="1"/>
  <c r="Y52" i="30" s="1"/>
  <c r="Z35" i="30" a="1"/>
  <c r="Z35" i="30" s="1"/>
  <c r="Z97" i="30" a="1"/>
  <c r="Z97" i="30" s="1"/>
  <c r="Z78" i="30" a="1"/>
  <c r="Z78" i="30" s="1"/>
  <c r="Z112" i="30" a="1"/>
  <c r="Z112" i="30" s="1"/>
  <c r="Z34" i="30" a="1"/>
  <c r="Z34" i="30" s="1"/>
  <c r="AA152" i="30" a="1"/>
  <c r="AA152" i="30" s="1"/>
  <c r="Y26" i="30" a="1"/>
  <c r="Y26" i="30" s="1"/>
  <c r="AA75" i="30" a="1"/>
  <c r="AA75" i="30" s="1"/>
  <c r="AA89" i="30" a="1"/>
  <c r="AA89" i="30" s="1"/>
  <c r="Z31" i="30" a="1"/>
  <c r="Z31" i="30" s="1"/>
  <c r="Z148" i="30" a="1"/>
  <c r="Z148" i="30" s="1"/>
  <c r="Y87" i="30" a="1"/>
  <c r="Y87" i="30" s="1"/>
  <c r="Y28" i="30" a="1"/>
  <c r="Y28" i="30" s="1"/>
  <c r="AA79" i="30" a="1"/>
  <c r="AA79" i="30" s="1"/>
  <c r="Z123" i="30" a="1"/>
  <c r="Z123" i="30" s="1"/>
  <c r="Z70" i="30" a="1"/>
  <c r="Z70" i="30" s="1"/>
  <c r="Y43" i="30" a="1"/>
  <c r="Y43" i="30" s="1"/>
  <c r="Z68" i="30" a="1"/>
  <c r="Z68" i="30" s="1"/>
  <c r="Z27" i="30" a="1"/>
  <c r="Z27" i="30" s="1"/>
  <c r="Y135" i="30" a="1"/>
  <c r="Y135" i="30" s="1"/>
  <c r="Y18" i="30" a="1"/>
  <c r="Y18" i="30" s="1"/>
  <c r="R46" i="30"/>
  <c r="R135" i="30"/>
  <c r="R159" i="30"/>
  <c r="R49" i="30"/>
  <c r="R26" i="30"/>
  <c r="R54" i="30"/>
  <c r="R136" i="30"/>
  <c r="R85" i="30"/>
  <c r="R35" i="30"/>
  <c r="R31" i="30"/>
  <c r="R38" i="30"/>
  <c r="R94" i="30"/>
  <c r="R147" i="30"/>
  <c r="R58" i="30"/>
  <c r="R47" i="30"/>
  <c r="R34" i="30"/>
  <c r="R115" i="30"/>
  <c r="R107" i="30"/>
  <c r="R149" i="30"/>
  <c r="R52" i="30"/>
  <c r="R36" i="30"/>
  <c r="R118" i="30"/>
  <c r="R150" i="30"/>
  <c r="R148" i="30"/>
  <c r="R50" i="30"/>
  <c r="R18" i="30"/>
  <c r="R23" i="30"/>
  <c r="R27" i="30"/>
  <c r="R129" i="30"/>
  <c r="R124" i="30"/>
  <c r="R131" i="30"/>
  <c r="R59" i="30"/>
  <c r="R56" i="30"/>
  <c r="Z156" i="30" a="1"/>
  <c r="Z156" i="30" s="1"/>
  <c r="Z100" i="30" a="1"/>
  <c r="Z100" i="30" s="1"/>
  <c r="AA156" i="30" a="1"/>
  <c r="AA156" i="30" s="1"/>
  <c r="Y156" i="30" a="1"/>
  <c r="Y156" i="30" s="1"/>
  <c r="Z26" i="30" a="1"/>
  <c r="Z26" i="30" s="1"/>
  <c r="AA104" i="30" a="1"/>
  <c r="AA104" i="30" s="1"/>
  <c r="Y104" i="30" a="1"/>
  <c r="Y104" i="30" s="1"/>
  <c r="Z104" i="30" a="1"/>
  <c r="Z104" i="30" s="1"/>
  <c r="AA19" i="30" a="1"/>
  <c r="AA19" i="30" s="1"/>
  <c r="Y132" i="30" a="1"/>
  <c r="Y132" i="30" s="1"/>
  <c r="Z132" i="30" a="1"/>
  <c r="Z132" i="30" s="1"/>
  <c r="Z19" i="30" a="1"/>
  <c r="Z19" i="30" s="1"/>
  <c r="Z152" i="30" a="1"/>
  <c r="Z152" i="30" s="1"/>
  <c r="Z58" i="30" a="1"/>
  <c r="Z58" i="30" s="1"/>
  <c r="AA114" i="30" a="1"/>
  <c r="AA114" i="30" s="1"/>
  <c r="Y58" i="30" a="1"/>
  <c r="Y58" i="30" s="1"/>
  <c r="AA128" i="30" a="1"/>
  <c r="AA128" i="30" s="1"/>
  <c r="AA96" i="30" a="1"/>
  <c r="AA96" i="30" s="1"/>
  <c r="Y96" i="30" a="1"/>
  <c r="Y96" i="30" s="1"/>
  <c r="AA129" i="30" a="1"/>
  <c r="AA129" i="30" s="1"/>
  <c r="AA109" i="30" a="1"/>
  <c r="AA109" i="30" s="1"/>
  <c r="Z129" i="30" a="1"/>
  <c r="Z129" i="30" s="1"/>
  <c r="Z109" i="30" a="1"/>
  <c r="Z109" i="30" s="1"/>
  <c r="Y128" i="30" a="1"/>
  <c r="Y128" i="30" s="1"/>
  <c r="Y121" i="30" a="1"/>
  <c r="Y121" i="30" s="1"/>
  <c r="Y125" i="30" a="1"/>
  <c r="Y125" i="30" s="1"/>
  <c r="AA112" i="30" a="1"/>
  <c r="AA112" i="30" s="1"/>
  <c r="Y152" i="30" a="1"/>
  <c r="Y152" i="30" s="1"/>
  <c r="Z116" i="30" a="1"/>
  <c r="Z116" i="30" s="1"/>
  <c r="Z128" i="30" a="1"/>
  <c r="Z128" i="30" s="1"/>
  <c r="AA116" i="30" a="1"/>
  <c r="AA116" i="30" s="1"/>
  <c r="Y116" i="30" a="1"/>
  <c r="Y116" i="30" s="1"/>
  <c r="Y109" i="30" a="1"/>
  <c r="Y109" i="30" s="1"/>
  <c r="AA113" i="30" a="1"/>
  <c r="AA113" i="30" s="1"/>
  <c r="AA125" i="30" a="1"/>
  <c r="AA125" i="30" s="1"/>
  <c r="Y56" i="30" a="1"/>
  <c r="Y56" i="30" s="1"/>
  <c r="Y123" i="30" a="1"/>
  <c r="Y123" i="30" s="1"/>
  <c r="Y126" i="30" a="1"/>
  <c r="Y126" i="30" s="1"/>
  <c r="AA134" i="30" a="1"/>
  <c r="AA134" i="30" s="1"/>
  <c r="Z126" i="30" a="1"/>
  <c r="Z126" i="30" s="1"/>
  <c r="AA126" i="30" a="1"/>
  <c r="AA126" i="30" s="1"/>
  <c r="Z114" i="30" a="1"/>
  <c r="Z114" i="30" s="1"/>
  <c r="Z87" i="30" a="1"/>
  <c r="Z87" i="30" s="1"/>
  <c r="AA123" i="30" a="1"/>
  <c r="AA123" i="30" s="1"/>
  <c r="AA87" i="30" a="1"/>
  <c r="AA87" i="30" s="1"/>
  <c r="R15" i="30"/>
  <c r="Y19" i="30" a="1"/>
  <c r="Y19" i="30" s="1"/>
  <c r="Y144" i="30" a="1"/>
  <c r="Y144" i="30" s="1"/>
  <c r="Z144" i="30" a="1"/>
  <c r="Z144" i="30" s="1"/>
  <c r="Y100" i="30" a="1"/>
  <c r="Y100" i="30" s="1"/>
  <c r="Z98" i="30" a="1"/>
  <c r="Z98" i="30" s="1"/>
  <c r="AA132" i="30" a="1"/>
  <c r="AA132" i="30" s="1"/>
  <c r="AA97" i="30" a="1"/>
  <c r="AA97" i="30" s="1"/>
  <c r="AA93" i="30" a="1"/>
  <c r="AA93" i="30" s="1"/>
  <c r="Z56" i="30" a="1"/>
  <c r="Z56" i="30" s="1"/>
  <c r="AA135" i="30" a="1"/>
  <c r="AA135" i="30" s="1"/>
  <c r="Y113" i="30" a="1"/>
  <c r="Y113" i="30" s="1"/>
  <c r="Z121" i="30" a="1"/>
  <c r="Z121" i="30" s="1"/>
  <c r="Z62" i="30" a="1"/>
  <c r="Z62" i="30" s="1"/>
  <c r="AA62" i="30" a="1"/>
  <c r="AA62" i="30" s="1"/>
  <c r="Z54" i="30" a="1"/>
  <c r="Z54" i="30" s="1"/>
  <c r="Y75" i="30" a="1"/>
  <c r="Y75" i="30" s="1"/>
  <c r="Z75" i="30" a="1"/>
  <c r="Z75" i="30" s="1"/>
  <c r="Z66" i="30" a="1"/>
  <c r="Z66" i="30" s="1"/>
  <c r="AA18" i="30" a="1"/>
  <c r="AA18" i="30" s="1"/>
  <c r="Z43" i="30" a="1"/>
  <c r="Z43" i="30" s="1"/>
  <c r="AA50" i="30" a="1"/>
  <c r="AA50" i="30" s="1"/>
  <c r="Y66" i="30" a="1"/>
  <c r="Y66" i="30" s="1"/>
  <c r="AA26" i="30" a="1"/>
  <c r="AA26" i="30" s="1"/>
  <c r="Z50" i="30" a="1"/>
  <c r="Z50" i="30" s="1"/>
  <c r="Y27" i="30" a="1"/>
  <c r="Y27" i="30" s="1"/>
  <c r="AA27" i="30" a="1"/>
  <c r="AA27" i="30" s="1"/>
  <c r="AA66" i="30" a="1"/>
  <c r="AA66" i="30" s="1"/>
  <c r="AA28" i="30" a="1"/>
  <c r="AA28" i="30" s="1"/>
  <c r="Z28" i="30" a="1"/>
  <c r="Z28" i="30" s="1"/>
  <c r="Y34" i="30" a="1"/>
  <c r="Y34" i="30" s="1"/>
  <c r="Y46" i="30" a="1"/>
  <c r="Y46" i="30" s="1"/>
  <c r="Z52" i="30" a="1"/>
  <c r="Z52" i="30" s="1"/>
  <c r="AA52" i="30" a="1"/>
  <c r="AA52" i="30" s="1"/>
  <c r="Y31" i="30" a="1"/>
  <c r="Y31" i="30" s="1"/>
  <c r="AA31" i="30" a="1"/>
  <c r="AA31" i="30" s="1"/>
  <c r="Y134" i="30" a="1"/>
  <c r="Y134" i="30" s="1"/>
  <c r="Y40" i="30" a="1"/>
  <c r="Y40" i="30" s="1"/>
  <c r="Z134" i="30" a="1"/>
  <c r="Z134" i="30" s="1"/>
  <c r="Z40" i="30" a="1"/>
  <c r="Z40" i="30" s="1"/>
  <c r="Y60" i="30" a="1"/>
  <c r="Y60" i="30" s="1"/>
  <c r="AA40" i="30" a="1"/>
  <c r="AA40" i="30" s="1"/>
  <c r="Z60" i="30" a="1"/>
  <c r="Z60" i="30" s="1"/>
  <c r="AA144" i="30" a="1"/>
  <c r="AA144" i="30" s="1"/>
  <c r="Z135" i="30" a="1"/>
  <c r="Z135" i="30" s="1"/>
  <c r="AA43" i="30" a="1"/>
  <c r="AA43" i="30" s="1"/>
  <c r="AA78" i="30" a="1"/>
  <c r="AA78" i="30" s="1"/>
  <c r="Y44" i="30" a="1"/>
  <c r="Y44" i="30" s="1"/>
  <c r="AA54" i="30" a="1"/>
  <c r="AA54" i="30" s="1"/>
  <c r="Y97" i="30" a="1"/>
  <c r="Y97" i="30" s="1"/>
  <c r="AA100" i="30" a="1"/>
  <c r="AA100" i="30" s="1"/>
  <c r="Z89" i="30" a="1"/>
  <c r="Z89" i="30" s="1"/>
  <c r="Y78" i="30" a="1"/>
  <c r="Y78" i="30" s="1"/>
  <c r="Z44" i="30" a="1"/>
  <c r="Z44" i="30" s="1"/>
  <c r="Y35" i="30" a="1"/>
  <c r="Y35" i="30" s="1"/>
  <c r="AA133" i="30" a="1"/>
  <c r="AA133" i="30" s="1"/>
  <c r="AA34" i="30" a="1"/>
  <c r="AA34" i="30" s="1"/>
  <c r="R156" i="30"/>
  <c r="M16" i="30"/>
  <c r="K16" i="30"/>
  <c r="K9" i="30" s="1"/>
  <c r="Z122" i="30" a="1"/>
  <c r="Z122" i="30" s="1"/>
  <c r="Y148" i="30" a="1"/>
  <c r="Y148" i="30" s="1"/>
  <c r="R110" i="30"/>
  <c r="R78" i="30"/>
  <c r="AA68" i="30" a="1"/>
  <c r="AA68" i="30" s="1"/>
  <c r="AA60" i="30" a="1"/>
  <c r="AA60" i="30" s="1"/>
  <c r="R97" i="30"/>
  <c r="R114" i="30"/>
  <c r="AA70" i="30" a="1"/>
  <c r="AA70" i="30" s="1"/>
  <c r="Q16" i="30"/>
  <c r="Q9" i="30" s="1"/>
  <c r="Y48" i="30" a="1"/>
  <c r="Y48" i="30" s="1"/>
  <c r="R138" i="30"/>
  <c r="AA98" i="30" a="1"/>
  <c r="AA98" i="30" s="1"/>
  <c r="R67" i="30"/>
  <c r="Y79" i="30" a="1"/>
  <c r="Y79" i="30" s="1"/>
  <c r="R126" i="30"/>
  <c r="AA148" i="30" a="1"/>
  <c r="AA148" i="30" s="1"/>
  <c r="R142" i="30"/>
  <c r="AA122" i="30" a="1"/>
  <c r="AA122" i="30" s="1"/>
  <c r="Y112" i="30" a="1"/>
  <c r="Y112" i="30" s="1"/>
  <c r="Z79" i="30" a="1"/>
  <c r="Z79" i="30" s="1"/>
  <c r="Z46" i="30" a="1"/>
  <c r="Z46" i="30" s="1"/>
  <c r="Y70" i="30" a="1"/>
  <c r="Y70" i="30" s="1"/>
  <c r="Z48" i="30" a="1"/>
  <c r="Z48" i="30" s="1"/>
  <c r="Z18" i="30" a="1"/>
  <c r="Z18" i="30" s="1"/>
  <c r="R154" i="30"/>
  <c r="Y133" i="30" a="1"/>
  <c r="Y133" i="30" s="1"/>
  <c r="Y93" i="30" a="1"/>
  <c r="Y93" i="30" s="1"/>
  <c r="Y68" i="30" a="1"/>
  <c r="Y68" i="30" s="1"/>
  <c r="AA46" i="30" a="1"/>
  <c r="AA46" i="30" s="1"/>
  <c r="AA35" i="30" a="1"/>
  <c r="AA35" i="30" s="1"/>
  <c r="Y89" i="30" a="1"/>
  <c r="Y89" i="30" s="1"/>
  <c r="R112" i="30"/>
  <c r="R108" i="30"/>
  <c r="Y122" i="30" a="1"/>
  <c r="Y122" i="30" s="1"/>
  <c r="R39" i="30"/>
  <c r="Z93" i="30" a="1"/>
  <c r="Z93" i="30" s="1"/>
  <c r="R81" i="30"/>
  <c r="R21" i="30"/>
  <c r="R17" i="30"/>
  <c r="AA117" i="30" a="1"/>
  <c r="AA117" i="30" s="1"/>
  <c r="Z117" i="30" a="1"/>
  <c r="Z117" i="30" s="1"/>
  <c r="Y117" i="30" a="1"/>
  <c r="Y117" i="30" s="1"/>
  <c r="AA102" i="30" a="1"/>
  <c r="AA102" i="30" s="1"/>
  <c r="Y102" i="30" a="1"/>
  <c r="Y102" i="30" s="1"/>
  <c r="Z102" i="30" a="1"/>
  <c r="Z102" i="30" s="1"/>
  <c r="Y73" i="30" a="1"/>
  <c r="Y73" i="30" s="1"/>
  <c r="AA73" i="30" a="1"/>
  <c r="AA73" i="30" s="1"/>
  <c r="Z73" i="30" a="1"/>
  <c r="Z73" i="30" s="1"/>
  <c r="AA67" i="30" a="1"/>
  <c r="AA67" i="30" s="1"/>
  <c r="Z67" i="30" a="1"/>
  <c r="Z67" i="30" s="1"/>
  <c r="Y67" i="30" a="1"/>
  <c r="Y67" i="30" s="1"/>
  <c r="AA20" i="30" a="1"/>
  <c r="AA20" i="30" s="1"/>
  <c r="Z20" i="30" a="1"/>
  <c r="Z20" i="30" s="1"/>
  <c r="Y20" i="30" a="1"/>
  <c r="Y20" i="30" s="1"/>
  <c r="Y81" i="30" a="1"/>
  <c r="Y81" i="30" s="1"/>
  <c r="Z81" i="30" a="1"/>
  <c r="Z81" i="30" s="1"/>
  <c r="AA81" i="30" a="1"/>
  <c r="AA81" i="30" s="1"/>
  <c r="AA32" i="30" a="1"/>
  <c r="AA32" i="30" s="1"/>
  <c r="Y32" i="30" a="1"/>
  <c r="Y32" i="30" s="1"/>
  <c r="Z32" i="30" a="1"/>
  <c r="Z32" i="30" s="1"/>
  <c r="Y21" i="30" a="1"/>
  <c r="Y21" i="30" s="1"/>
  <c r="AA21" i="30" a="1"/>
  <c r="AA21" i="30" s="1"/>
  <c r="Z21" i="30" a="1"/>
  <c r="Z21" i="30" s="1"/>
  <c r="Y41" i="30" a="1"/>
  <c r="Y41" i="30" s="1"/>
  <c r="AA41" i="30" a="1"/>
  <c r="AA41" i="30" s="1"/>
  <c r="Z41" i="30" a="1"/>
  <c r="Z41" i="30" s="1"/>
  <c r="Y146" i="30" a="1"/>
  <c r="Y146" i="30" s="1"/>
  <c r="AA146" i="30" a="1"/>
  <c r="AA146" i="30" s="1"/>
  <c r="Z146" i="30" a="1"/>
  <c r="Z146" i="30" s="1"/>
  <c r="Y136" i="30" a="1"/>
  <c r="Y136" i="30" s="1"/>
  <c r="AA136" i="30" a="1"/>
  <c r="AA136" i="30" s="1"/>
  <c r="Z136" i="30" a="1"/>
  <c r="Z136" i="30" s="1"/>
  <c r="Y158" i="30" a="1"/>
  <c r="Y158" i="30" s="1"/>
  <c r="AA158" i="30" a="1"/>
  <c r="AA158" i="30" s="1"/>
  <c r="Z158" i="30" a="1"/>
  <c r="Z158" i="30" s="1"/>
  <c r="R137" i="30"/>
  <c r="R120" i="30"/>
  <c r="AA105" i="30" a="1"/>
  <c r="AA105" i="30" s="1"/>
  <c r="Y105" i="30" a="1"/>
  <c r="Y105" i="30" s="1"/>
  <c r="Z105" i="30" a="1"/>
  <c r="Z105" i="30" s="1"/>
  <c r="Y106" i="30" a="1"/>
  <c r="Y106" i="30" s="1"/>
  <c r="AA106" i="30" a="1"/>
  <c r="AA106" i="30" s="1"/>
  <c r="Z106" i="30" a="1"/>
  <c r="Z106" i="30" s="1"/>
  <c r="AA101" i="30" a="1"/>
  <c r="AA101" i="30" s="1"/>
  <c r="Z101" i="30" a="1"/>
  <c r="Z101" i="30" s="1"/>
  <c r="Y101" i="30" a="1"/>
  <c r="Y101" i="30" s="1"/>
  <c r="AA72" i="30" a="1"/>
  <c r="AA72" i="30" s="1"/>
  <c r="Z72" i="30" a="1"/>
  <c r="Z72" i="30" s="1"/>
  <c r="Y72" i="30" a="1"/>
  <c r="Y72" i="30" s="1"/>
  <c r="AA61" i="30" a="1"/>
  <c r="AA61" i="30" s="1"/>
  <c r="Z61" i="30" a="1"/>
  <c r="Z61" i="30" s="1"/>
  <c r="Y61" i="30" a="1"/>
  <c r="Y61" i="30" s="1"/>
  <c r="Y77" i="30" a="1"/>
  <c r="Y77" i="30" s="1"/>
  <c r="AA77" i="30" a="1"/>
  <c r="AA77" i="30" s="1"/>
  <c r="Z77" i="30" a="1"/>
  <c r="Z77" i="30" s="1"/>
  <c r="R146" i="30"/>
  <c r="R132" i="30"/>
  <c r="R158" i="30"/>
  <c r="R130" i="30"/>
  <c r="R139" i="30"/>
  <c r="R92" i="30"/>
  <c r="R96" i="30"/>
  <c r="Y95" i="30" a="1"/>
  <c r="Y95" i="30" s="1"/>
  <c r="AA95" i="30" a="1"/>
  <c r="AA95" i="30" s="1"/>
  <c r="Z95" i="30" a="1"/>
  <c r="Z95" i="30" s="1"/>
  <c r="AA57" i="30" a="1"/>
  <c r="AA57" i="30" s="1"/>
  <c r="Z57" i="30" a="1"/>
  <c r="Z57" i="30" s="1"/>
  <c r="Y57" i="30" a="1"/>
  <c r="Y57" i="30" s="1"/>
  <c r="Y85" i="30" a="1"/>
  <c r="Y85" i="30" s="1"/>
  <c r="AA85" i="30" a="1"/>
  <c r="AA85" i="30" s="1"/>
  <c r="Z85" i="30" a="1"/>
  <c r="Z85" i="30" s="1"/>
  <c r="Z63" i="30" a="1"/>
  <c r="Z63" i="30" s="1"/>
  <c r="Y63" i="30" a="1"/>
  <c r="Y63" i="30" s="1"/>
  <c r="AA63" i="30" a="1"/>
  <c r="AA63" i="30" s="1"/>
  <c r="R57" i="30"/>
  <c r="Y65" i="30" a="1"/>
  <c r="Y65" i="30" s="1"/>
  <c r="Z65" i="30" a="1"/>
  <c r="Z65" i="30" s="1"/>
  <c r="AA65" i="30" a="1"/>
  <c r="AA65" i="30" s="1"/>
  <c r="Y30" i="30" a="1"/>
  <c r="Y30" i="30" s="1"/>
  <c r="Z30" i="30" a="1"/>
  <c r="Z30" i="30" s="1"/>
  <c r="AA30" i="30" a="1"/>
  <c r="AA30" i="30" s="1"/>
  <c r="Y33" i="30" a="1"/>
  <c r="Y33" i="30" s="1"/>
  <c r="Z33" i="30" a="1"/>
  <c r="Z33" i="30" s="1"/>
  <c r="AA33" i="30" a="1"/>
  <c r="AA33" i="30" s="1"/>
  <c r="Z59" i="30" a="1"/>
  <c r="Z59" i="30" s="1"/>
  <c r="Y59" i="30" a="1"/>
  <c r="Y59" i="30" s="1"/>
  <c r="AA59" i="30" a="1"/>
  <c r="AA59" i="30" s="1"/>
  <c r="AA76" i="30" a="1"/>
  <c r="AA76" i="30" s="1"/>
  <c r="Y76" i="30" a="1"/>
  <c r="Y76" i="30" s="1"/>
  <c r="Z76" i="30" a="1"/>
  <c r="Z76" i="30" s="1"/>
  <c r="R30" i="30"/>
  <c r="R66" i="30"/>
  <c r="Z55" i="30" a="1"/>
  <c r="Z55" i="30" s="1"/>
  <c r="Y55" i="30" a="1"/>
  <c r="Y55" i="30" s="1"/>
  <c r="AA55" i="30" a="1"/>
  <c r="AA55" i="30" s="1"/>
  <c r="AA24" i="30" a="1"/>
  <c r="AA24" i="30" s="1"/>
  <c r="Z24" i="30" a="1"/>
  <c r="Z24" i="30" s="1"/>
  <c r="Y24" i="30" a="1"/>
  <c r="Y24" i="30" s="1"/>
  <c r="AA127" i="30" a="1"/>
  <c r="AA127" i="30" s="1"/>
  <c r="Y127" i="30" a="1"/>
  <c r="Y127" i="30" s="1"/>
  <c r="Z127" i="30" a="1"/>
  <c r="Z127" i="30" s="1"/>
  <c r="Y142" i="30" a="1"/>
  <c r="Y142" i="30" s="1"/>
  <c r="AA142" i="30" a="1"/>
  <c r="AA142" i="30" s="1"/>
  <c r="Z142" i="30" a="1"/>
  <c r="Z142" i="30" s="1"/>
  <c r="AA118" i="30" a="1"/>
  <c r="AA118" i="30" s="1"/>
  <c r="Z118" i="30" a="1"/>
  <c r="Z118" i="30" s="1"/>
  <c r="Y118" i="30" a="1"/>
  <c r="Y118" i="30" s="1"/>
  <c r="AA53" i="30" a="1"/>
  <c r="AA53" i="30" s="1"/>
  <c r="Z53" i="30" a="1"/>
  <c r="Z53" i="30" s="1"/>
  <c r="Y53" i="30" a="1"/>
  <c r="Y53" i="30" s="1"/>
  <c r="R133" i="30"/>
  <c r="R116" i="30"/>
  <c r="Y131" i="30" a="1"/>
  <c r="Y131" i="30" s="1"/>
  <c r="AA131" i="30" a="1"/>
  <c r="AA131" i="30" s="1"/>
  <c r="Z131" i="30" a="1"/>
  <c r="Z131" i="30" s="1"/>
  <c r="R100" i="30"/>
  <c r="AA149" i="30" a="1"/>
  <c r="AA149" i="30" s="1"/>
  <c r="Y149" i="30" a="1"/>
  <c r="Y149" i="30" s="1"/>
  <c r="Z149" i="30" a="1"/>
  <c r="Z149" i="30" s="1"/>
  <c r="AA160" i="30" a="1"/>
  <c r="AA160" i="30" s="1"/>
  <c r="Z160" i="30" a="1"/>
  <c r="Z160" i="30" s="1"/>
  <c r="Y160" i="30" a="1"/>
  <c r="Y160" i="30" s="1"/>
  <c r="Z151" i="30" a="1"/>
  <c r="Z151" i="30" s="1"/>
  <c r="Y151" i="30" a="1"/>
  <c r="Y151" i="30" s="1"/>
  <c r="AA151" i="30" a="1"/>
  <c r="AA151" i="30" s="1"/>
  <c r="Z155" i="30" a="1"/>
  <c r="Z155" i="30" s="1"/>
  <c r="Y155" i="30" a="1"/>
  <c r="Y155" i="30" s="1"/>
  <c r="AA155" i="30" a="1"/>
  <c r="AA155" i="30" s="1"/>
  <c r="Z147" i="30" a="1"/>
  <c r="Z147" i="30" s="1"/>
  <c r="Y147" i="30" a="1"/>
  <c r="Y147" i="30" s="1"/>
  <c r="AA147" i="30" a="1"/>
  <c r="AA147" i="30" s="1"/>
  <c r="Y115" i="30" a="1"/>
  <c r="Y115" i="30" s="1"/>
  <c r="Z115" i="30" a="1"/>
  <c r="Z115" i="30" s="1"/>
  <c r="AA115" i="30" a="1"/>
  <c r="AA115" i="30" s="1"/>
  <c r="Y107" i="30" a="1"/>
  <c r="Y107" i="30" s="1"/>
  <c r="Z107" i="30" a="1"/>
  <c r="Z107" i="30" s="1"/>
  <c r="AA107" i="30" a="1"/>
  <c r="AA107" i="30" s="1"/>
  <c r="Y91" i="30" a="1"/>
  <c r="Y91" i="30" s="1"/>
  <c r="AA91" i="30" a="1"/>
  <c r="AA91" i="30" s="1"/>
  <c r="Z91" i="30" a="1"/>
  <c r="Z91" i="30" s="1"/>
  <c r="Y103" i="30" a="1"/>
  <c r="Y103" i="30" s="1"/>
  <c r="AA103" i="30" a="1"/>
  <c r="AA103" i="30" s="1"/>
  <c r="Z103" i="30" a="1"/>
  <c r="Z103" i="30" s="1"/>
  <c r="AA86" i="30" a="1"/>
  <c r="AA86" i="30" s="1"/>
  <c r="Z86" i="30" a="1"/>
  <c r="Z86" i="30" s="1"/>
  <c r="Y86" i="30" a="1"/>
  <c r="Y86" i="30" s="1"/>
  <c r="Z74" i="30" a="1"/>
  <c r="Z74" i="30" s="1"/>
  <c r="Y74" i="30" a="1"/>
  <c r="Y74" i="30" s="1"/>
  <c r="AA74" i="30" a="1"/>
  <c r="AA74" i="30" s="1"/>
  <c r="AA45" i="30" a="1"/>
  <c r="AA45" i="30" s="1"/>
  <c r="Z45" i="30" a="1"/>
  <c r="Z45" i="30" s="1"/>
  <c r="Y45" i="30" a="1"/>
  <c r="Y45" i="30" s="1"/>
  <c r="R83" i="30"/>
  <c r="Y42" i="30" a="1"/>
  <c r="Y42" i="30" s="1"/>
  <c r="AA42" i="30" a="1"/>
  <c r="AA42" i="30" s="1"/>
  <c r="Z42" i="30" a="1"/>
  <c r="Z42" i="30" s="1"/>
  <c r="Z51" i="30" a="1"/>
  <c r="Z51" i="30" s="1"/>
  <c r="Y51" i="30" a="1"/>
  <c r="Y51" i="30" s="1"/>
  <c r="AA51" i="30" a="1"/>
  <c r="AA51" i="30" s="1"/>
  <c r="R53" i="30"/>
  <c r="Z92" i="30" a="1"/>
  <c r="Z92" i="30" s="1"/>
  <c r="Y92" i="30" a="1"/>
  <c r="Y92" i="30" s="1"/>
  <c r="AA92" i="30" a="1"/>
  <c r="AA92" i="30" s="1"/>
  <c r="Y37" i="30" a="1"/>
  <c r="Y37" i="30" s="1"/>
  <c r="AA37" i="30" a="1"/>
  <c r="AA37" i="30" s="1"/>
  <c r="Z37" i="30" a="1"/>
  <c r="Z37" i="30" s="1"/>
  <c r="Y29" i="30" a="1"/>
  <c r="Y29" i="30" s="1"/>
  <c r="AA29" i="30" a="1"/>
  <c r="AA29" i="30" s="1"/>
  <c r="Z29" i="30" a="1"/>
  <c r="Z29" i="30" s="1"/>
  <c r="Z39" i="30" a="1"/>
  <c r="Z39" i="30" s="1"/>
  <c r="AA39" i="30" a="1"/>
  <c r="AA39" i="30" s="1"/>
  <c r="Y39" i="30" a="1"/>
  <c r="Y39" i="30" s="1"/>
  <c r="Y17" i="30" a="1"/>
  <c r="Y17" i="30" s="1"/>
  <c r="AA17" i="30" a="1"/>
  <c r="AA17" i="30" s="1"/>
  <c r="Z17" i="30" a="1"/>
  <c r="Z17" i="30" s="1"/>
  <c r="AA157" i="30" a="1"/>
  <c r="AA157" i="30" s="1"/>
  <c r="Y157" i="30" a="1"/>
  <c r="Y157" i="30" s="1"/>
  <c r="Z157" i="30" a="1"/>
  <c r="Z157" i="30" s="1"/>
  <c r="Z143" i="30" a="1"/>
  <c r="Z143" i="30" s="1"/>
  <c r="Y143" i="30" a="1"/>
  <c r="Y143" i="30" s="1"/>
  <c r="AA143" i="30" a="1"/>
  <c r="AA143" i="30" s="1"/>
  <c r="Z120" i="30" a="1"/>
  <c r="Z120" i="30" s="1"/>
  <c r="Y120" i="30" a="1"/>
  <c r="Y120" i="30" s="1"/>
  <c r="AA120" i="30" a="1"/>
  <c r="AA120" i="30" s="1"/>
  <c r="AA153" i="30" a="1"/>
  <c r="AA153" i="30" s="1"/>
  <c r="Z153" i="30" a="1"/>
  <c r="Z153" i="30" s="1"/>
  <c r="Y153" i="30" a="1"/>
  <c r="Y153" i="30" s="1"/>
  <c r="Y119" i="30" a="1"/>
  <c r="Y119" i="30" s="1"/>
  <c r="AA119" i="30" a="1"/>
  <c r="AA119" i="30" s="1"/>
  <c r="Z119" i="30" a="1"/>
  <c r="Z119" i="30" s="1"/>
  <c r="AA110" i="30" a="1"/>
  <c r="AA110" i="30" s="1"/>
  <c r="Z110" i="30" a="1"/>
  <c r="Z110" i="30" s="1"/>
  <c r="Y110" i="30" a="1"/>
  <c r="Y110" i="30" s="1"/>
  <c r="Y69" i="30" a="1"/>
  <c r="Y69" i="30" s="1"/>
  <c r="AA69" i="30" a="1"/>
  <c r="AA69" i="30" s="1"/>
  <c r="Z69" i="30" a="1"/>
  <c r="Z69" i="30" s="1"/>
  <c r="AA49" i="30" a="1"/>
  <c r="AA49" i="30" s="1"/>
  <c r="Z49" i="30" a="1"/>
  <c r="Z49" i="30" s="1"/>
  <c r="Y49" i="30" a="1"/>
  <c r="Y49" i="30" s="1"/>
  <c r="AA145" i="30" a="1"/>
  <c r="AA145" i="30" s="1"/>
  <c r="Z145" i="30" a="1"/>
  <c r="Z145" i="30" s="1"/>
  <c r="Y145" i="30" a="1"/>
  <c r="Y145" i="30" s="1"/>
  <c r="Z159" i="30" a="1"/>
  <c r="Z159" i="30" s="1"/>
  <c r="Y159" i="30" a="1"/>
  <c r="Y159" i="30" s="1"/>
  <c r="AA159" i="30" a="1"/>
  <c r="AA159" i="30" s="1"/>
  <c r="AA138" i="30" a="1"/>
  <c r="AA138" i="30" s="1"/>
  <c r="Z138" i="30" a="1"/>
  <c r="Z138" i="30" s="1"/>
  <c r="Y138" i="30" a="1"/>
  <c r="Y138" i="30" s="1"/>
  <c r="R134" i="30"/>
  <c r="Y99" i="30" a="1"/>
  <c r="Y99" i="30" s="1"/>
  <c r="AA99" i="30" a="1"/>
  <c r="AA99" i="30" s="1"/>
  <c r="Z99" i="30" a="1"/>
  <c r="Z99" i="30" s="1"/>
  <c r="R82" i="30"/>
  <c r="R70" i="30"/>
  <c r="Z47" i="30" a="1"/>
  <c r="Z47" i="30" s="1"/>
  <c r="Y47" i="30" a="1"/>
  <c r="Y47" i="30" s="1"/>
  <c r="AA47" i="30" a="1"/>
  <c r="AA47" i="30" s="1"/>
  <c r="R74" i="30"/>
  <c r="AA36" i="30" a="1"/>
  <c r="AA36" i="30" s="1"/>
  <c r="Z36" i="30" a="1"/>
  <c r="Z36" i="30" s="1"/>
  <c r="Y36" i="30" a="1"/>
  <c r="Y36" i="30" s="1"/>
  <c r="R22" i="30"/>
  <c r="Y154" i="30" a="1"/>
  <c r="Y154" i="30" s="1"/>
  <c r="AA154" i="30" a="1"/>
  <c r="AA154" i="30" s="1"/>
  <c r="Z154" i="30" a="1"/>
  <c r="Z154" i="30" s="1"/>
  <c r="AA90" i="30" a="1"/>
  <c r="AA90" i="30" s="1"/>
  <c r="Y90" i="30" a="1"/>
  <c r="Y90" i="30" s="1"/>
  <c r="Z90" i="30" a="1"/>
  <c r="Z90" i="30" s="1"/>
  <c r="AA94" i="30" a="1"/>
  <c r="AA94" i="30" s="1"/>
  <c r="Y94" i="30" a="1"/>
  <c r="Y94" i="30" s="1"/>
  <c r="Z94" i="30" a="1"/>
  <c r="Z94" i="30" s="1"/>
  <c r="AL9" i="30" a="1"/>
  <c r="AL9" i="30" s="1"/>
  <c r="AA141" i="30" a="1"/>
  <c r="AA141" i="30" s="1"/>
  <c r="Y141" i="30" a="1"/>
  <c r="Y141" i="30" s="1"/>
  <c r="Z141" i="30" a="1"/>
  <c r="Z141" i="30" s="1"/>
  <c r="Y137" i="30" a="1"/>
  <c r="Y137" i="30" s="1"/>
  <c r="Z137" i="30" a="1"/>
  <c r="Z137" i="30" s="1"/>
  <c r="AA137" i="30" a="1"/>
  <c r="AA137" i="30" s="1"/>
  <c r="Z139" i="30" a="1"/>
  <c r="Z139" i="30" s="1"/>
  <c r="AA139" i="30" a="1"/>
  <c r="AA139" i="30" s="1"/>
  <c r="Y139" i="30" a="1"/>
  <c r="Y139" i="30" s="1"/>
  <c r="AA130" i="30" a="1"/>
  <c r="AA130" i="30" s="1"/>
  <c r="Z130" i="30" a="1"/>
  <c r="Z130" i="30" s="1"/>
  <c r="Y130" i="30" a="1"/>
  <c r="Y130" i="30" s="1"/>
  <c r="R125" i="30"/>
  <c r="R128" i="30"/>
  <c r="Y150" i="30" a="1"/>
  <c r="Y150" i="30" s="1"/>
  <c r="Z150" i="30" a="1"/>
  <c r="Z150" i="30" s="1"/>
  <c r="AA150" i="30" a="1"/>
  <c r="AA150" i="30" s="1"/>
  <c r="R123" i="30"/>
  <c r="AA124" i="30" a="1"/>
  <c r="AA124" i="30" s="1"/>
  <c r="Z124" i="30" a="1"/>
  <c r="Z124" i="30" s="1"/>
  <c r="Y124" i="30" a="1"/>
  <c r="Y124" i="30" s="1"/>
  <c r="Y111" i="30" a="1"/>
  <c r="Y111" i="30" s="1"/>
  <c r="Z111" i="30" a="1"/>
  <c r="Z111" i="30" s="1"/>
  <c r="AA111" i="30" a="1"/>
  <c r="AA111" i="30" s="1"/>
  <c r="R104" i="30"/>
  <c r="R86" i="30"/>
  <c r="AA64" i="30" a="1"/>
  <c r="AA64" i="30" s="1"/>
  <c r="Z64" i="30" a="1"/>
  <c r="Z64" i="30" s="1"/>
  <c r="Y64" i="30" a="1"/>
  <c r="Y64" i="30" s="1"/>
  <c r="R61" i="30"/>
  <c r="AA84" i="30" a="1"/>
  <c r="AA84" i="30" s="1"/>
  <c r="Z84" i="30" a="1"/>
  <c r="Z84" i="30" s="1"/>
  <c r="Y84" i="30" a="1"/>
  <c r="Y84" i="30" s="1"/>
  <c r="AA71" i="30" a="1"/>
  <c r="AA71" i="30" s="1"/>
  <c r="Z71" i="30" a="1"/>
  <c r="Z71" i="30" s="1"/>
  <c r="Y71" i="30" a="1"/>
  <c r="Y71" i="30" s="1"/>
  <c r="Y22" i="30" a="1"/>
  <c r="Y22" i="30" s="1"/>
  <c r="Z22" i="30" a="1"/>
  <c r="Z22" i="30" s="1"/>
  <c r="AA22" i="30" a="1"/>
  <c r="AA22" i="30" s="1"/>
  <c r="Y25" i="30" a="1"/>
  <c r="Y25" i="30" s="1"/>
  <c r="AA25" i="30" a="1"/>
  <c r="AA25" i="30" s="1"/>
  <c r="Z25" i="30" a="1"/>
  <c r="Z25" i="30" s="1"/>
  <c r="AK9" i="30" a="1"/>
  <c r="AK9" i="30" s="1"/>
  <c r="S9" i="30"/>
  <c r="G9" i="30"/>
  <c r="R16" i="30" l="1"/>
  <c r="R9" i="30" s="1"/>
  <c r="M9" i="30"/>
  <c r="I158" i="28" l="1"/>
  <c r="J158" i="28" s="1"/>
  <c r="I157" i="28"/>
  <c r="J157" i="28" s="1"/>
  <c r="I156" i="28"/>
  <c r="J156" i="28" s="1"/>
  <c r="J155" i="28"/>
  <c r="I155" i="28"/>
  <c r="I154" i="28"/>
  <c r="J154" i="28" s="1"/>
  <c r="I153" i="28"/>
  <c r="J153" i="28" s="1"/>
  <c r="I152" i="28"/>
  <c r="J152" i="28" s="1"/>
  <c r="J151" i="28"/>
  <c r="I151" i="28"/>
  <c r="I150" i="28"/>
  <c r="J150" i="28" s="1"/>
  <c r="I149" i="28"/>
  <c r="J149" i="28" s="1"/>
  <c r="I148" i="28"/>
  <c r="J148" i="28" s="1"/>
  <c r="J147" i="28"/>
  <c r="I147" i="28"/>
  <c r="I146" i="28"/>
  <c r="J146" i="28" s="1"/>
  <c r="I145" i="28"/>
  <c r="J145" i="28" s="1"/>
  <c r="I144" i="28"/>
  <c r="J144" i="28" s="1"/>
  <c r="J143" i="28"/>
  <c r="I143" i="28"/>
  <c r="I142" i="28"/>
  <c r="J142" i="28" s="1"/>
  <c r="I141" i="28"/>
  <c r="J141" i="28" s="1"/>
  <c r="I140" i="28"/>
  <c r="J140" i="28" s="1"/>
  <c r="J139" i="28"/>
  <c r="I139" i="28"/>
  <c r="I138" i="28"/>
  <c r="J138" i="28" s="1"/>
  <c r="I137" i="28"/>
  <c r="J137" i="28" s="1"/>
  <c r="I136" i="28"/>
  <c r="J136" i="28" s="1"/>
  <c r="J135" i="28"/>
  <c r="I135" i="28"/>
  <c r="I134" i="28"/>
  <c r="J134" i="28" s="1"/>
  <c r="I133" i="28"/>
  <c r="J133" i="28" s="1"/>
  <c r="I132" i="28"/>
  <c r="J132" i="28" s="1"/>
  <c r="J131" i="28"/>
  <c r="I131" i="28"/>
  <c r="I130" i="28"/>
  <c r="J130" i="28" s="1"/>
  <c r="I129" i="28"/>
  <c r="J129" i="28" s="1"/>
  <c r="I128" i="28"/>
  <c r="J128" i="28" s="1"/>
  <c r="J127" i="28"/>
  <c r="I127" i="28"/>
  <c r="I126" i="28"/>
  <c r="J126" i="28" s="1"/>
  <c r="J125" i="28"/>
  <c r="I125" i="28"/>
  <c r="I124" i="28"/>
  <c r="J124" i="28" s="1"/>
  <c r="J123" i="28"/>
  <c r="I123" i="28"/>
  <c r="I122" i="28"/>
  <c r="J122" i="28" s="1"/>
  <c r="I121" i="28"/>
  <c r="J121" i="28" s="1"/>
  <c r="I120" i="28"/>
  <c r="J120" i="28" s="1"/>
  <c r="J119" i="28"/>
  <c r="I119" i="28"/>
  <c r="I118" i="28"/>
  <c r="J118" i="28" s="1"/>
  <c r="I117" i="28"/>
  <c r="J117" i="28" s="1"/>
  <c r="I116" i="28"/>
  <c r="J116" i="28" s="1"/>
  <c r="J115" i="28"/>
  <c r="I115" i="28"/>
  <c r="I114" i="28"/>
  <c r="J114" i="28" s="1"/>
  <c r="I113" i="28"/>
  <c r="J113" i="28" s="1"/>
  <c r="I112" i="28"/>
  <c r="J112" i="28" s="1"/>
  <c r="J111" i="28"/>
  <c r="I111" i="28"/>
  <c r="I110" i="28"/>
  <c r="J110" i="28" s="1"/>
  <c r="I109" i="28"/>
  <c r="J109" i="28" s="1"/>
  <c r="I108" i="28"/>
  <c r="J108" i="28" s="1"/>
  <c r="J107" i="28"/>
  <c r="I107" i="28"/>
  <c r="I106" i="28"/>
  <c r="J106" i="28" s="1"/>
  <c r="I105" i="28"/>
  <c r="J105" i="28" s="1"/>
  <c r="I104" i="28"/>
  <c r="J104" i="28" s="1"/>
  <c r="J103" i="28"/>
  <c r="I103" i="28"/>
  <c r="I102" i="28"/>
  <c r="J102" i="28" s="1"/>
  <c r="I101" i="28"/>
  <c r="J101" i="28" s="1"/>
  <c r="I100" i="28"/>
  <c r="J100" i="28" s="1"/>
  <c r="J99" i="28"/>
  <c r="I99" i="28"/>
  <c r="I98" i="28"/>
  <c r="J98" i="28" s="1"/>
  <c r="I97" i="28"/>
  <c r="J97" i="28" s="1"/>
  <c r="I96" i="28"/>
  <c r="J96" i="28" s="1"/>
  <c r="J95" i="28"/>
  <c r="I95" i="28"/>
  <c r="I94" i="28"/>
  <c r="J94" i="28" s="1"/>
  <c r="I93" i="28"/>
  <c r="J93" i="28" s="1"/>
  <c r="I92" i="28"/>
  <c r="J92" i="28" s="1"/>
  <c r="J91" i="28"/>
  <c r="I91" i="28"/>
  <c r="I90" i="28"/>
  <c r="J90" i="28" s="1"/>
  <c r="I89" i="28"/>
  <c r="J89" i="28" s="1"/>
  <c r="I88" i="28"/>
  <c r="J88" i="28" s="1"/>
  <c r="J87" i="28"/>
  <c r="I87" i="28"/>
  <c r="I86" i="28"/>
  <c r="J86" i="28" s="1"/>
  <c r="I85" i="28"/>
  <c r="J85" i="28" s="1"/>
  <c r="I84" i="28"/>
  <c r="J84" i="28" s="1"/>
  <c r="J83" i="28"/>
  <c r="I83" i="28"/>
  <c r="I82" i="28"/>
  <c r="J82" i="28" s="1"/>
  <c r="I81" i="28"/>
  <c r="J81" i="28" s="1"/>
  <c r="I80" i="28"/>
  <c r="J80" i="28" s="1"/>
  <c r="J79" i="28"/>
  <c r="I79" i="28"/>
  <c r="I78" i="28"/>
  <c r="J78" i="28" s="1"/>
  <c r="I77" i="28"/>
  <c r="J77" i="28" s="1"/>
  <c r="I76" i="28"/>
  <c r="J76" i="28" s="1"/>
  <c r="I75" i="28"/>
  <c r="J75" i="28" s="1"/>
  <c r="I74" i="28"/>
  <c r="J74" i="28" s="1"/>
  <c r="I73" i="28"/>
  <c r="J73" i="28" s="1"/>
  <c r="I72" i="28"/>
  <c r="J72" i="28" s="1"/>
  <c r="I71" i="28"/>
  <c r="J71" i="28" s="1"/>
  <c r="I70" i="28"/>
  <c r="J70" i="28" s="1"/>
  <c r="I69" i="28"/>
  <c r="J69" i="28" s="1"/>
  <c r="I68" i="28"/>
  <c r="J68" i="28" s="1"/>
  <c r="I67" i="28"/>
  <c r="J67" i="28" s="1"/>
  <c r="I66" i="28"/>
  <c r="J66" i="28" s="1"/>
  <c r="I65" i="28"/>
  <c r="J65" i="28" s="1"/>
  <c r="I64" i="28"/>
  <c r="J64" i="28" s="1"/>
  <c r="I63" i="28"/>
  <c r="J63" i="28" s="1"/>
  <c r="I62" i="28"/>
  <c r="J62" i="28" s="1"/>
  <c r="I61" i="28"/>
  <c r="J61" i="28" s="1"/>
  <c r="I60" i="28"/>
  <c r="J60" i="28" s="1"/>
  <c r="I59" i="28"/>
  <c r="J59" i="28" s="1"/>
  <c r="I58" i="28"/>
  <c r="J58" i="28" s="1"/>
  <c r="I57" i="28"/>
  <c r="J57" i="28" s="1"/>
  <c r="I56" i="28"/>
  <c r="J56" i="28" s="1"/>
  <c r="I55" i="28"/>
  <c r="J55" i="28" s="1"/>
  <c r="I54" i="28"/>
  <c r="J54" i="28" s="1"/>
  <c r="I53" i="28"/>
  <c r="J53" i="28" s="1"/>
  <c r="I52" i="28"/>
  <c r="J52" i="28" s="1"/>
  <c r="I51" i="28"/>
  <c r="J51" i="28" s="1"/>
  <c r="I50" i="28"/>
  <c r="J50" i="28" s="1"/>
  <c r="I49" i="28"/>
  <c r="J49" i="28" s="1"/>
  <c r="I48" i="28"/>
  <c r="J48" i="28" s="1"/>
  <c r="F47" i="2" l="1"/>
  <c r="E47" i="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H10" i="24"/>
  <c r="E134" i="27" l="1"/>
  <c r="D135" i="27"/>
  <c r="E135" i="27"/>
  <c r="F135" i="27"/>
  <c r="D136" i="27"/>
  <c r="E136" i="27"/>
  <c r="F136" i="27"/>
  <c r="G25" i="2"/>
  <c r="C73" i="27" s="1"/>
  <c r="C7" i="27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18" i="24"/>
  <c r="H16" i="24"/>
  <c r="P15" i="26"/>
  <c r="P16" i="26"/>
  <c r="P17" i="26"/>
  <c r="P18" i="26"/>
  <c r="P19" i="26"/>
  <c r="P20" i="26"/>
  <c r="P21" i="26"/>
  <c r="P22" i="26"/>
  <c r="P23" i="26"/>
  <c r="P24" i="26"/>
  <c r="P25" i="26"/>
  <c r="P26" i="26"/>
  <c r="P27" i="26"/>
  <c r="P28" i="26"/>
  <c r="P29" i="26"/>
  <c r="P30" i="26"/>
  <c r="P31" i="26"/>
  <c r="P32" i="26"/>
  <c r="P33" i="26"/>
  <c r="P34" i="26"/>
  <c r="P35" i="26"/>
  <c r="P36" i="26"/>
  <c r="P37" i="26"/>
  <c r="P38" i="26"/>
  <c r="P39" i="26"/>
  <c r="P40" i="26"/>
  <c r="P41" i="26"/>
  <c r="P42" i="26"/>
  <c r="P43" i="26"/>
  <c r="P44" i="26"/>
  <c r="P45" i="26"/>
  <c r="P46" i="26"/>
  <c r="P47" i="26"/>
  <c r="P48" i="26"/>
  <c r="P49" i="26"/>
  <c r="P50" i="26"/>
  <c r="P51" i="26"/>
  <c r="P52" i="26"/>
  <c r="P53" i="26"/>
  <c r="P54" i="26"/>
  <c r="P55" i="26"/>
  <c r="P56" i="26"/>
  <c r="P57" i="26"/>
  <c r="P58" i="26"/>
  <c r="P59" i="26"/>
  <c r="P60" i="26"/>
  <c r="P61" i="26"/>
  <c r="P62" i="26"/>
  <c r="P63" i="26"/>
  <c r="P64" i="26"/>
  <c r="P65" i="26"/>
  <c r="P66" i="26"/>
  <c r="P67" i="26"/>
  <c r="P68" i="26"/>
  <c r="P69" i="26"/>
  <c r="P70" i="26"/>
  <c r="P71" i="26"/>
  <c r="P72" i="26"/>
  <c r="P73" i="26"/>
  <c r="P74" i="26"/>
  <c r="P75" i="26"/>
  <c r="P76" i="26"/>
  <c r="P77" i="26"/>
  <c r="P78" i="26"/>
  <c r="P79" i="26"/>
  <c r="P80" i="26"/>
  <c r="P81" i="26"/>
  <c r="P82" i="26"/>
  <c r="P83" i="26"/>
  <c r="P84" i="26"/>
  <c r="P85" i="26"/>
  <c r="P86" i="26"/>
  <c r="P87" i="26"/>
  <c r="P88" i="26"/>
  <c r="P89" i="26"/>
  <c r="P90" i="26"/>
  <c r="P91" i="26"/>
  <c r="P92" i="26"/>
  <c r="P93" i="26"/>
  <c r="P94" i="26"/>
  <c r="P95" i="26"/>
  <c r="P96" i="26"/>
  <c r="P97" i="26"/>
  <c r="P98" i="26"/>
  <c r="P99" i="26"/>
  <c r="P100" i="26"/>
  <c r="P101" i="26"/>
  <c r="P102" i="26"/>
  <c r="P103" i="26"/>
  <c r="P104" i="26"/>
  <c r="P105" i="26"/>
  <c r="P106" i="26"/>
  <c r="P107" i="26"/>
  <c r="P108" i="26"/>
  <c r="P109" i="26"/>
  <c r="P110" i="26"/>
  <c r="P111" i="26"/>
  <c r="P112" i="26"/>
  <c r="P113" i="26"/>
  <c r="P114" i="26"/>
  <c r="P115" i="26"/>
  <c r="P116" i="26"/>
  <c r="P117" i="26"/>
  <c r="P118" i="26"/>
  <c r="P119" i="26"/>
  <c r="P120" i="26"/>
  <c r="P121" i="26"/>
  <c r="P122" i="26"/>
  <c r="P123" i="26"/>
  <c r="P124" i="26"/>
  <c r="P125" i="26"/>
  <c r="P126" i="26"/>
  <c r="P127" i="26"/>
  <c r="P128" i="26"/>
  <c r="P129" i="26"/>
  <c r="P130" i="26"/>
  <c r="P131" i="26"/>
  <c r="P132" i="26"/>
  <c r="P133" i="26"/>
  <c r="P134" i="26"/>
  <c r="P135" i="26"/>
  <c r="P136" i="26"/>
  <c r="P137" i="26"/>
  <c r="P138" i="26"/>
  <c r="P139" i="26"/>
  <c r="P140" i="26"/>
  <c r="P141" i="26"/>
  <c r="P142" i="26"/>
  <c r="P143" i="26"/>
  <c r="P144" i="26"/>
  <c r="P145" i="26"/>
  <c r="P146" i="26"/>
  <c r="P147" i="26"/>
  <c r="P148" i="26"/>
  <c r="P149" i="26"/>
  <c r="P150" i="26"/>
  <c r="P151" i="26"/>
  <c r="P152" i="26"/>
  <c r="P153" i="26"/>
  <c r="P154" i="26"/>
  <c r="P155" i="26"/>
  <c r="P156" i="26"/>
  <c r="P157" i="26"/>
  <c r="P158" i="26"/>
  <c r="P159" i="26"/>
  <c r="P160" i="26"/>
  <c r="P14" i="26"/>
  <c r="N15" i="26"/>
  <c r="AL15" i="26" s="1"/>
  <c r="O15" i="26"/>
  <c r="N16" i="26"/>
  <c r="O16" i="26"/>
  <c r="N17" i="26"/>
  <c r="AL17" i="26" s="1"/>
  <c r="O17" i="26"/>
  <c r="N18" i="26"/>
  <c r="AL18" i="26" s="1"/>
  <c r="O18" i="26"/>
  <c r="N19" i="26"/>
  <c r="AL19" i="26" s="1"/>
  <c r="O19" i="26"/>
  <c r="N20" i="26"/>
  <c r="AL20" i="26" s="1"/>
  <c r="O20" i="26"/>
  <c r="N21" i="26"/>
  <c r="AL21" i="26" s="1"/>
  <c r="O21" i="26"/>
  <c r="N22" i="26"/>
  <c r="O22" i="26"/>
  <c r="N23" i="26"/>
  <c r="AL23" i="26" s="1"/>
  <c r="O23" i="26"/>
  <c r="N24" i="26"/>
  <c r="AL24" i="26" s="1"/>
  <c r="O24" i="26"/>
  <c r="N25" i="26"/>
  <c r="O25" i="26"/>
  <c r="N26" i="26"/>
  <c r="AL26" i="26" s="1"/>
  <c r="O26" i="26"/>
  <c r="N27" i="26"/>
  <c r="AL27" i="26" s="1"/>
  <c r="O27" i="26"/>
  <c r="N28" i="26"/>
  <c r="AL28" i="26" s="1"/>
  <c r="O28" i="26"/>
  <c r="N29" i="26"/>
  <c r="O29" i="26"/>
  <c r="N30" i="26"/>
  <c r="AL30" i="26" s="1"/>
  <c r="O30" i="26"/>
  <c r="N31" i="26"/>
  <c r="O31" i="26"/>
  <c r="N32" i="26"/>
  <c r="AL32" i="26" s="1"/>
  <c r="O32" i="26"/>
  <c r="N33" i="26"/>
  <c r="AL33" i="26" s="1"/>
  <c r="O33" i="26"/>
  <c r="N34" i="26"/>
  <c r="AL34" i="26" s="1"/>
  <c r="O34" i="26"/>
  <c r="N35" i="26"/>
  <c r="AL35" i="26" s="1"/>
  <c r="O35" i="26"/>
  <c r="N36" i="26"/>
  <c r="O36" i="26"/>
  <c r="N37" i="26"/>
  <c r="O37" i="26"/>
  <c r="N38" i="26"/>
  <c r="AL38" i="26" s="1"/>
  <c r="O38" i="26"/>
  <c r="N39" i="26"/>
  <c r="AL39" i="26" s="1"/>
  <c r="O39" i="26"/>
  <c r="N40" i="26"/>
  <c r="O40" i="26"/>
  <c r="N41" i="26"/>
  <c r="AL41" i="26" s="1"/>
  <c r="O41" i="26"/>
  <c r="N42" i="26"/>
  <c r="AL42" i="26" s="1"/>
  <c r="O42" i="26"/>
  <c r="N43" i="26"/>
  <c r="AL43" i="26" s="1"/>
  <c r="O43" i="26"/>
  <c r="N44" i="26"/>
  <c r="AL44" i="26" s="1"/>
  <c r="O44" i="26"/>
  <c r="N45" i="26"/>
  <c r="O45" i="26"/>
  <c r="N46" i="26"/>
  <c r="AL46" i="26" s="1"/>
  <c r="O46" i="26"/>
  <c r="N47" i="26"/>
  <c r="AL47" i="26" s="1"/>
  <c r="O47" i="26"/>
  <c r="N48" i="26"/>
  <c r="AL48" i="26" s="1"/>
  <c r="O48" i="26"/>
  <c r="N49" i="26"/>
  <c r="O49" i="26"/>
  <c r="N50" i="26"/>
  <c r="AL50" i="26" s="1"/>
  <c r="O50" i="26"/>
  <c r="N51" i="26"/>
  <c r="AL51" i="26" s="1"/>
  <c r="O51" i="26"/>
  <c r="N52" i="26"/>
  <c r="AL52" i="26" s="1"/>
  <c r="O52" i="26"/>
  <c r="N53" i="26"/>
  <c r="O53" i="26"/>
  <c r="N54" i="26"/>
  <c r="O54" i="26"/>
  <c r="N55" i="26"/>
  <c r="AL55" i="26" s="1"/>
  <c r="O55" i="26"/>
  <c r="N56" i="26"/>
  <c r="AL56" i="26" s="1"/>
  <c r="O56" i="26"/>
  <c r="N57" i="26"/>
  <c r="O57" i="26"/>
  <c r="N58" i="26"/>
  <c r="AL58" i="26" s="1"/>
  <c r="O58" i="26"/>
  <c r="N59" i="26"/>
  <c r="O59" i="26"/>
  <c r="N60" i="26"/>
  <c r="AL60" i="26" s="1"/>
  <c r="O60" i="26"/>
  <c r="N61" i="26"/>
  <c r="O61" i="26"/>
  <c r="N62" i="26"/>
  <c r="O62" i="26"/>
  <c r="N63" i="26"/>
  <c r="AL63" i="26" s="1"/>
  <c r="O63" i="26"/>
  <c r="N64" i="26"/>
  <c r="O64" i="26"/>
  <c r="N65" i="26"/>
  <c r="AL65" i="26" s="1"/>
  <c r="O65" i="26"/>
  <c r="N66" i="26"/>
  <c r="AL66" i="26" s="1"/>
  <c r="O66" i="26"/>
  <c r="N67" i="26"/>
  <c r="AL67" i="26" s="1"/>
  <c r="O67" i="26"/>
  <c r="N68" i="26"/>
  <c r="AL68" i="26" s="1"/>
  <c r="O68" i="26"/>
  <c r="N69" i="26"/>
  <c r="O69" i="26"/>
  <c r="N70" i="26"/>
  <c r="AL70" i="26" s="1"/>
  <c r="O70" i="26"/>
  <c r="N71" i="26"/>
  <c r="O71" i="26"/>
  <c r="N72" i="26"/>
  <c r="O72" i="26"/>
  <c r="N73" i="26"/>
  <c r="AL73" i="26" s="1"/>
  <c r="O73" i="26"/>
  <c r="N74" i="26"/>
  <c r="O74" i="26"/>
  <c r="N75" i="26"/>
  <c r="AL75" i="26" s="1"/>
  <c r="O75" i="26"/>
  <c r="N76" i="26"/>
  <c r="AL76" i="26" s="1"/>
  <c r="O76" i="26"/>
  <c r="N77" i="26"/>
  <c r="O77" i="26"/>
  <c r="N78" i="26"/>
  <c r="O78" i="26"/>
  <c r="N79" i="26"/>
  <c r="AL79" i="26" s="1"/>
  <c r="O79" i="26"/>
  <c r="N80" i="26"/>
  <c r="AL80" i="26" s="1"/>
  <c r="O80" i="26"/>
  <c r="N81" i="26"/>
  <c r="AL81" i="26" s="1"/>
  <c r="O81" i="26"/>
  <c r="N82" i="26"/>
  <c r="AL82" i="26" s="1"/>
  <c r="O82" i="26"/>
  <c r="N83" i="26"/>
  <c r="AL83" i="26" s="1"/>
  <c r="O83" i="26"/>
  <c r="N84" i="26"/>
  <c r="AL84" i="26" s="1"/>
  <c r="O84" i="26"/>
  <c r="N85" i="26"/>
  <c r="O85" i="26"/>
  <c r="N86" i="26"/>
  <c r="AL86" i="26" s="1"/>
  <c r="O86" i="26"/>
  <c r="N87" i="26"/>
  <c r="AL87" i="26" s="1"/>
  <c r="O87" i="26"/>
  <c r="N88" i="26"/>
  <c r="O88" i="26"/>
  <c r="N89" i="26"/>
  <c r="O89" i="26"/>
  <c r="N90" i="26"/>
  <c r="AL90" i="26" s="1"/>
  <c r="O90" i="26"/>
  <c r="N91" i="26"/>
  <c r="AL91" i="26" s="1"/>
  <c r="O91" i="26"/>
  <c r="N92" i="26"/>
  <c r="O92" i="26"/>
  <c r="N93" i="26"/>
  <c r="O93" i="26"/>
  <c r="N94" i="26"/>
  <c r="AL94" i="26" s="1"/>
  <c r="O94" i="26"/>
  <c r="N95" i="26"/>
  <c r="O95" i="26"/>
  <c r="N96" i="26"/>
  <c r="O96" i="26"/>
  <c r="N97" i="26"/>
  <c r="AL97" i="26" s="1"/>
  <c r="O97" i="26"/>
  <c r="N98" i="26"/>
  <c r="O98" i="26"/>
  <c r="N99" i="26"/>
  <c r="AL99" i="26" s="1"/>
  <c r="O99" i="26"/>
  <c r="N100" i="26"/>
  <c r="O100" i="26"/>
  <c r="N101" i="26"/>
  <c r="O101" i="26"/>
  <c r="N102" i="26"/>
  <c r="O102" i="26"/>
  <c r="N103" i="26"/>
  <c r="AL103" i="26" s="1"/>
  <c r="O103" i="26"/>
  <c r="N104" i="26"/>
  <c r="AL104" i="26" s="1"/>
  <c r="O104" i="26"/>
  <c r="N105" i="26"/>
  <c r="O105" i="26"/>
  <c r="N106" i="26"/>
  <c r="AL106" i="26" s="1"/>
  <c r="O106" i="26"/>
  <c r="N107" i="26"/>
  <c r="AL107" i="26" s="1"/>
  <c r="O107" i="26"/>
  <c r="N108" i="26"/>
  <c r="O108" i="26"/>
  <c r="N109" i="26"/>
  <c r="O109" i="26"/>
  <c r="N110" i="26"/>
  <c r="AL110" i="26" s="1"/>
  <c r="O110" i="26"/>
  <c r="N111" i="26"/>
  <c r="AL111" i="26" s="1"/>
  <c r="O111" i="26"/>
  <c r="N112" i="26"/>
  <c r="AL112" i="26" s="1"/>
  <c r="O112" i="26"/>
  <c r="N113" i="26"/>
  <c r="AL113" i="26" s="1"/>
  <c r="O113" i="26"/>
  <c r="N114" i="26"/>
  <c r="O114" i="26"/>
  <c r="N115" i="26"/>
  <c r="AL115" i="26" s="1"/>
  <c r="O115" i="26"/>
  <c r="N116" i="26"/>
  <c r="O116" i="26"/>
  <c r="N117" i="26"/>
  <c r="O117" i="26"/>
  <c r="N118" i="26"/>
  <c r="AL118" i="26" s="1"/>
  <c r="O118" i="26"/>
  <c r="N119" i="26"/>
  <c r="AL119" i="26" s="1"/>
  <c r="O119" i="26"/>
  <c r="N120" i="26"/>
  <c r="O120" i="26"/>
  <c r="N121" i="26"/>
  <c r="AL121" i="26" s="1"/>
  <c r="O121" i="26"/>
  <c r="N122" i="26"/>
  <c r="O122" i="26"/>
  <c r="N123" i="26"/>
  <c r="AL123" i="26" s="1"/>
  <c r="O123" i="26"/>
  <c r="N124" i="26"/>
  <c r="O124" i="26"/>
  <c r="N125" i="26"/>
  <c r="O125" i="26"/>
  <c r="N126" i="26"/>
  <c r="AL126" i="26" s="1"/>
  <c r="O126" i="26"/>
  <c r="N127" i="26"/>
  <c r="AL127" i="26" s="1"/>
  <c r="O127" i="26"/>
  <c r="N128" i="26"/>
  <c r="O128" i="26"/>
  <c r="N129" i="26"/>
  <c r="O129" i="26"/>
  <c r="N130" i="26"/>
  <c r="O130" i="26"/>
  <c r="N131" i="26"/>
  <c r="AL131" i="26" s="1"/>
  <c r="O131" i="26"/>
  <c r="N132" i="26"/>
  <c r="O132" i="26"/>
  <c r="N133" i="26"/>
  <c r="O133" i="26"/>
  <c r="N134" i="26"/>
  <c r="O134" i="26"/>
  <c r="N135" i="26"/>
  <c r="AL135" i="26" s="1"/>
  <c r="O135" i="26"/>
  <c r="N136" i="26"/>
  <c r="O136" i="26"/>
  <c r="N137" i="26"/>
  <c r="AL137" i="26" s="1"/>
  <c r="O137" i="26"/>
  <c r="N138" i="26"/>
  <c r="O138" i="26"/>
  <c r="N139" i="26"/>
  <c r="AL139" i="26" s="1"/>
  <c r="O139" i="26"/>
  <c r="N140" i="26"/>
  <c r="O140" i="26"/>
  <c r="N141" i="26"/>
  <c r="AL141" i="26" s="1"/>
  <c r="O141" i="26"/>
  <c r="N142" i="26"/>
  <c r="AL142" i="26" s="1"/>
  <c r="O142" i="26"/>
  <c r="N143" i="26"/>
  <c r="AL143" i="26" s="1"/>
  <c r="O143" i="26"/>
  <c r="N144" i="26"/>
  <c r="O144" i="26"/>
  <c r="N145" i="26"/>
  <c r="AL145" i="26" s="1"/>
  <c r="O145" i="26"/>
  <c r="N146" i="26"/>
  <c r="O146" i="26"/>
  <c r="N147" i="26"/>
  <c r="AL147" i="26" s="1"/>
  <c r="O147" i="26"/>
  <c r="N148" i="26"/>
  <c r="AL148" i="26" s="1"/>
  <c r="O148" i="26"/>
  <c r="N149" i="26"/>
  <c r="O149" i="26"/>
  <c r="N150" i="26"/>
  <c r="O150" i="26"/>
  <c r="N151" i="26"/>
  <c r="AL151" i="26" s="1"/>
  <c r="O151" i="26"/>
  <c r="N152" i="26"/>
  <c r="O152" i="26"/>
  <c r="N153" i="26"/>
  <c r="AL153" i="26" s="1"/>
  <c r="O153" i="26"/>
  <c r="N154" i="26"/>
  <c r="O154" i="26"/>
  <c r="N155" i="26"/>
  <c r="AL155" i="26" s="1"/>
  <c r="O155" i="26"/>
  <c r="N156" i="26"/>
  <c r="O156" i="26"/>
  <c r="N157" i="26"/>
  <c r="AL157" i="26" s="1"/>
  <c r="O157" i="26"/>
  <c r="N158" i="26"/>
  <c r="O158" i="26"/>
  <c r="N159" i="26"/>
  <c r="O159" i="26"/>
  <c r="N160" i="26"/>
  <c r="AL160" i="26" s="1"/>
  <c r="O160" i="26"/>
  <c r="O14" i="26"/>
  <c r="N14" i="26"/>
  <c r="AL14" i="26" s="1"/>
  <c r="L15" i="26"/>
  <c r="L16" i="26"/>
  <c r="L17" i="26"/>
  <c r="L18" i="26"/>
  <c r="L19" i="26"/>
  <c r="L20" i="26"/>
  <c r="L21" i="26"/>
  <c r="L22" i="26"/>
  <c r="L23" i="26"/>
  <c r="L24" i="26"/>
  <c r="L25" i="26"/>
  <c r="L26" i="26"/>
  <c r="L27" i="26"/>
  <c r="L28" i="26"/>
  <c r="L29" i="26"/>
  <c r="L30" i="26"/>
  <c r="L31" i="26"/>
  <c r="L32" i="26"/>
  <c r="L33" i="26"/>
  <c r="L34" i="26"/>
  <c r="L35" i="26"/>
  <c r="L36" i="26"/>
  <c r="L37" i="26"/>
  <c r="L38" i="26"/>
  <c r="L39" i="26"/>
  <c r="L40" i="26"/>
  <c r="L41" i="26"/>
  <c r="L42" i="26"/>
  <c r="L43" i="26"/>
  <c r="L44" i="26"/>
  <c r="L45" i="26"/>
  <c r="L46" i="26"/>
  <c r="L47" i="26"/>
  <c r="L48" i="26"/>
  <c r="L49" i="26"/>
  <c r="L50" i="26"/>
  <c r="L51" i="26"/>
  <c r="L52" i="26"/>
  <c r="L53" i="26"/>
  <c r="L54" i="26"/>
  <c r="L55" i="26"/>
  <c r="L56" i="26"/>
  <c r="L57" i="26"/>
  <c r="L58" i="26"/>
  <c r="L59" i="26"/>
  <c r="L60" i="26"/>
  <c r="L61" i="26"/>
  <c r="L62" i="26"/>
  <c r="L63" i="26"/>
  <c r="L64" i="26"/>
  <c r="L65" i="26"/>
  <c r="L66" i="26"/>
  <c r="L67" i="26"/>
  <c r="L68" i="26"/>
  <c r="L69" i="26"/>
  <c r="L70" i="26"/>
  <c r="L71" i="26"/>
  <c r="L72" i="26"/>
  <c r="L73" i="26"/>
  <c r="L74" i="26"/>
  <c r="L75" i="26"/>
  <c r="L76" i="26"/>
  <c r="L77" i="26"/>
  <c r="L78" i="26"/>
  <c r="L79" i="26"/>
  <c r="L80" i="26"/>
  <c r="L81" i="26"/>
  <c r="L82" i="26"/>
  <c r="L83" i="26"/>
  <c r="L84" i="26"/>
  <c r="L85" i="26"/>
  <c r="L86" i="26"/>
  <c r="L87" i="26"/>
  <c r="L88" i="26"/>
  <c r="L89" i="26"/>
  <c r="L90" i="26"/>
  <c r="L91" i="26"/>
  <c r="L92" i="26"/>
  <c r="L93" i="26"/>
  <c r="L94" i="26"/>
  <c r="L95" i="26"/>
  <c r="L96" i="26"/>
  <c r="L97" i="26"/>
  <c r="L98" i="26"/>
  <c r="L99" i="26"/>
  <c r="L100" i="26"/>
  <c r="L101" i="26"/>
  <c r="L102" i="26"/>
  <c r="L103" i="26"/>
  <c r="L104" i="26"/>
  <c r="L105" i="26"/>
  <c r="L106" i="26"/>
  <c r="L107" i="26"/>
  <c r="L108" i="26"/>
  <c r="L109" i="26"/>
  <c r="L110" i="26"/>
  <c r="L111" i="26"/>
  <c r="L112" i="26"/>
  <c r="L113" i="26"/>
  <c r="L114" i="26"/>
  <c r="L115" i="26"/>
  <c r="L116" i="26"/>
  <c r="L117" i="26"/>
  <c r="L118" i="26"/>
  <c r="L119" i="26"/>
  <c r="L120" i="26"/>
  <c r="L121" i="26"/>
  <c r="L122" i="26"/>
  <c r="L123" i="26"/>
  <c r="L124" i="26"/>
  <c r="L125" i="26"/>
  <c r="L126" i="26"/>
  <c r="L127" i="26"/>
  <c r="L128" i="26"/>
  <c r="L129" i="26"/>
  <c r="L130" i="26"/>
  <c r="L131" i="26"/>
  <c r="L132" i="26"/>
  <c r="L133" i="26"/>
  <c r="L134" i="26"/>
  <c r="L135" i="26"/>
  <c r="L136" i="26"/>
  <c r="L137" i="26"/>
  <c r="L138" i="26"/>
  <c r="L139" i="26"/>
  <c r="L140" i="26"/>
  <c r="L141" i="26"/>
  <c r="L142" i="26"/>
  <c r="L143" i="26"/>
  <c r="L144" i="26"/>
  <c r="L145" i="26"/>
  <c r="L146" i="26"/>
  <c r="L147" i="26"/>
  <c r="L148" i="26"/>
  <c r="L149" i="26"/>
  <c r="L150" i="26"/>
  <c r="L151" i="26"/>
  <c r="L152" i="26"/>
  <c r="L153" i="26"/>
  <c r="L154" i="26"/>
  <c r="L155" i="26"/>
  <c r="L156" i="26"/>
  <c r="L157" i="26"/>
  <c r="L158" i="26"/>
  <c r="L159" i="26"/>
  <c r="L160" i="26"/>
  <c r="L14" i="26"/>
  <c r="J15" i="26"/>
  <c r="J16" i="26"/>
  <c r="J17" i="26"/>
  <c r="J18" i="26"/>
  <c r="J19" i="26"/>
  <c r="J20" i="26"/>
  <c r="J21" i="26"/>
  <c r="J22" i="26"/>
  <c r="J23" i="26"/>
  <c r="J24" i="26"/>
  <c r="J25" i="26"/>
  <c r="J26" i="26"/>
  <c r="J27" i="26"/>
  <c r="J28" i="26"/>
  <c r="J29" i="26"/>
  <c r="J30" i="26"/>
  <c r="J31" i="26"/>
  <c r="J32" i="26"/>
  <c r="J33" i="26"/>
  <c r="J34" i="26"/>
  <c r="J35" i="26"/>
  <c r="J36" i="26"/>
  <c r="J37" i="26"/>
  <c r="J38" i="26"/>
  <c r="J39" i="26"/>
  <c r="J40" i="26"/>
  <c r="J41" i="26"/>
  <c r="J42" i="26"/>
  <c r="J43" i="26"/>
  <c r="J44" i="26"/>
  <c r="J45" i="26"/>
  <c r="J46" i="26"/>
  <c r="J47" i="26"/>
  <c r="J48" i="26"/>
  <c r="J49" i="26"/>
  <c r="J50" i="26"/>
  <c r="J51" i="26"/>
  <c r="J52" i="26"/>
  <c r="J53" i="26"/>
  <c r="J54" i="26"/>
  <c r="J55" i="26"/>
  <c r="J56" i="26"/>
  <c r="J57" i="26"/>
  <c r="J58" i="26"/>
  <c r="J59" i="26"/>
  <c r="J60" i="26"/>
  <c r="J61" i="26"/>
  <c r="J62" i="26"/>
  <c r="J63" i="26"/>
  <c r="J64" i="26"/>
  <c r="J65" i="26"/>
  <c r="J66" i="26"/>
  <c r="J67" i="26"/>
  <c r="J68" i="26"/>
  <c r="J69" i="26"/>
  <c r="J70" i="26"/>
  <c r="J71" i="26"/>
  <c r="J72" i="26"/>
  <c r="J73" i="26"/>
  <c r="J74" i="26"/>
  <c r="J75" i="26"/>
  <c r="J76" i="26"/>
  <c r="J77" i="26"/>
  <c r="J78" i="26"/>
  <c r="J79" i="26"/>
  <c r="J80" i="26"/>
  <c r="J81" i="26"/>
  <c r="J82" i="26"/>
  <c r="J83" i="26"/>
  <c r="J84" i="26"/>
  <c r="J85" i="26"/>
  <c r="J86" i="26"/>
  <c r="J87" i="26"/>
  <c r="J88" i="26"/>
  <c r="J89" i="26"/>
  <c r="J90" i="26"/>
  <c r="J91" i="26"/>
  <c r="J92" i="26"/>
  <c r="J93" i="26"/>
  <c r="J94" i="26"/>
  <c r="J95" i="26"/>
  <c r="J96" i="26"/>
  <c r="J97" i="26"/>
  <c r="J98" i="26"/>
  <c r="J99" i="26"/>
  <c r="J100" i="26"/>
  <c r="J101" i="26"/>
  <c r="J102" i="26"/>
  <c r="J103" i="26"/>
  <c r="J104" i="26"/>
  <c r="J105" i="26"/>
  <c r="J106" i="26"/>
  <c r="J107" i="26"/>
  <c r="J108" i="26"/>
  <c r="J109" i="26"/>
  <c r="J110" i="26"/>
  <c r="J111" i="26"/>
  <c r="J112" i="26"/>
  <c r="J113" i="26"/>
  <c r="J114" i="26"/>
  <c r="J115" i="26"/>
  <c r="J116" i="26"/>
  <c r="J117" i="26"/>
  <c r="J118" i="26"/>
  <c r="J119" i="26"/>
  <c r="J120" i="26"/>
  <c r="J121" i="26"/>
  <c r="J122" i="26"/>
  <c r="J123" i="26"/>
  <c r="J124" i="26"/>
  <c r="J125" i="26"/>
  <c r="J126" i="26"/>
  <c r="J127" i="26"/>
  <c r="J128" i="26"/>
  <c r="J129" i="26"/>
  <c r="J130" i="26"/>
  <c r="J131" i="26"/>
  <c r="J132" i="26"/>
  <c r="J133" i="26"/>
  <c r="J134" i="26"/>
  <c r="J135" i="26"/>
  <c r="J136" i="26"/>
  <c r="J137" i="26"/>
  <c r="J138" i="26"/>
  <c r="J139" i="26"/>
  <c r="J140" i="26"/>
  <c r="J141" i="26"/>
  <c r="J142" i="26"/>
  <c r="J143" i="26"/>
  <c r="J144" i="26"/>
  <c r="J145" i="26"/>
  <c r="J146" i="26"/>
  <c r="J147" i="26"/>
  <c r="J148" i="26"/>
  <c r="J149" i="26"/>
  <c r="J150" i="26"/>
  <c r="J151" i="26"/>
  <c r="J152" i="26"/>
  <c r="J153" i="26"/>
  <c r="J154" i="26"/>
  <c r="J155" i="26"/>
  <c r="J156" i="26"/>
  <c r="J157" i="26"/>
  <c r="J158" i="26"/>
  <c r="J159" i="26"/>
  <c r="J160" i="26"/>
  <c r="J14" i="26"/>
  <c r="I15" i="26"/>
  <c r="I16" i="26"/>
  <c r="I17" i="26"/>
  <c r="I18" i="26"/>
  <c r="I19" i="26"/>
  <c r="I20" i="26"/>
  <c r="I21" i="26"/>
  <c r="I22" i="26"/>
  <c r="I23" i="26"/>
  <c r="I24" i="26"/>
  <c r="I25" i="26"/>
  <c r="I26" i="26"/>
  <c r="I27" i="26"/>
  <c r="I28" i="26"/>
  <c r="I29" i="26"/>
  <c r="I30" i="26"/>
  <c r="I31" i="26"/>
  <c r="I32" i="26"/>
  <c r="I33" i="26"/>
  <c r="I34" i="26"/>
  <c r="I35" i="26"/>
  <c r="I36" i="26"/>
  <c r="I37" i="26"/>
  <c r="I38" i="26"/>
  <c r="I39" i="26"/>
  <c r="I40" i="26"/>
  <c r="I41" i="26"/>
  <c r="I42" i="26"/>
  <c r="I43" i="26"/>
  <c r="I44" i="26"/>
  <c r="I45" i="26"/>
  <c r="I46" i="26"/>
  <c r="I47" i="26"/>
  <c r="I48" i="26"/>
  <c r="I49" i="26"/>
  <c r="I50" i="26"/>
  <c r="I51" i="26"/>
  <c r="I52" i="26"/>
  <c r="I53" i="26"/>
  <c r="I54" i="26"/>
  <c r="I55" i="26"/>
  <c r="I56" i="26"/>
  <c r="I57" i="26"/>
  <c r="I58" i="26"/>
  <c r="I59" i="26"/>
  <c r="I60" i="26"/>
  <c r="I61" i="26"/>
  <c r="I62" i="26"/>
  <c r="I63" i="26"/>
  <c r="I64" i="26"/>
  <c r="I65" i="26"/>
  <c r="I66" i="26"/>
  <c r="I67" i="26"/>
  <c r="I68" i="26"/>
  <c r="I69" i="26"/>
  <c r="I70" i="26"/>
  <c r="I71" i="26"/>
  <c r="I72" i="26"/>
  <c r="I73" i="26"/>
  <c r="I74" i="26"/>
  <c r="I75" i="26"/>
  <c r="I76" i="26"/>
  <c r="I77" i="26"/>
  <c r="I78" i="26"/>
  <c r="I79" i="26"/>
  <c r="I80" i="26"/>
  <c r="I81" i="26"/>
  <c r="I82" i="26"/>
  <c r="I83" i="26"/>
  <c r="I84" i="26"/>
  <c r="I85" i="26"/>
  <c r="I86" i="26"/>
  <c r="I87" i="26"/>
  <c r="I88" i="26"/>
  <c r="I89" i="26"/>
  <c r="I90" i="26"/>
  <c r="I91" i="26"/>
  <c r="I92" i="26"/>
  <c r="I93" i="26"/>
  <c r="I94" i="26"/>
  <c r="I95" i="26"/>
  <c r="I96" i="26"/>
  <c r="I97" i="26"/>
  <c r="I98" i="26"/>
  <c r="I99" i="26"/>
  <c r="I100" i="26"/>
  <c r="I101" i="26"/>
  <c r="I102" i="26"/>
  <c r="I103" i="26"/>
  <c r="I104" i="26"/>
  <c r="I105" i="26"/>
  <c r="I106" i="26"/>
  <c r="I107" i="26"/>
  <c r="I108" i="26"/>
  <c r="I109" i="26"/>
  <c r="I110" i="26"/>
  <c r="I111" i="26"/>
  <c r="I112" i="26"/>
  <c r="I113" i="26"/>
  <c r="I114" i="26"/>
  <c r="I115" i="26"/>
  <c r="I116" i="26"/>
  <c r="I117" i="26"/>
  <c r="I118" i="26"/>
  <c r="I119" i="26"/>
  <c r="I120" i="26"/>
  <c r="I121" i="26"/>
  <c r="I122" i="26"/>
  <c r="I123" i="26"/>
  <c r="I124" i="26"/>
  <c r="I125" i="26"/>
  <c r="I126" i="26"/>
  <c r="I127" i="26"/>
  <c r="I128" i="26"/>
  <c r="I129" i="26"/>
  <c r="I130" i="26"/>
  <c r="I131" i="26"/>
  <c r="I132" i="26"/>
  <c r="I133" i="26"/>
  <c r="I134" i="26"/>
  <c r="I135" i="26"/>
  <c r="I136" i="26"/>
  <c r="I137" i="26"/>
  <c r="I138" i="26"/>
  <c r="I139" i="26"/>
  <c r="I140" i="26"/>
  <c r="I141" i="26"/>
  <c r="I142" i="26"/>
  <c r="I143" i="26"/>
  <c r="I144" i="26"/>
  <c r="I145" i="26"/>
  <c r="I146" i="26"/>
  <c r="I147" i="26"/>
  <c r="I148" i="26"/>
  <c r="I149" i="26"/>
  <c r="I150" i="26"/>
  <c r="I151" i="26"/>
  <c r="I152" i="26"/>
  <c r="I153" i="26"/>
  <c r="I154" i="26"/>
  <c r="I155" i="26"/>
  <c r="I156" i="26"/>
  <c r="I157" i="26"/>
  <c r="I158" i="26"/>
  <c r="I159" i="26"/>
  <c r="I160" i="26"/>
  <c r="I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H45" i="26"/>
  <c r="H46" i="26"/>
  <c r="H47" i="26"/>
  <c r="H48" i="26"/>
  <c r="H49" i="26"/>
  <c r="H50" i="26"/>
  <c r="H51" i="26"/>
  <c r="H52" i="26"/>
  <c r="H53" i="26"/>
  <c r="H54" i="26"/>
  <c r="H55" i="26"/>
  <c r="H56" i="26"/>
  <c r="H57" i="26"/>
  <c r="H58" i="26"/>
  <c r="H59" i="26"/>
  <c r="H60" i="26"/>
  <c r="H61" i="26"/>
  <c r="H62" i="26"/>
  <c r="H63" i="26"/>
  <c r="H64" i="26"/>
  <c r="H65" i="26"/>
  <c r="H66" i="26"/>
  <c r="H67" i="26"/>
  <c r="H68" i="26"/>
  <c r="H69" i="26"/>
  <c r="H70" i="26"/>
  <c r="H71" i="26"/>
  <c r="H72" i="26"/>
  <c r="H73" i="26"/>
  <c r="H74" i="26"/>
  <c r="H75" i="26"/>
  <c r="H76" i="26"/>
  <c r="H77" i="26"/>
  <c r="H78" i="26"/>
  <c r="H79" i="26"/>
  <c r="H80" i="26"/>
  <c r="H81" i="26"/>
  <c r="H82" i="26"/>
  <c r="H83" i="26"/>
  <c r="H84" i="26"/>
  <c r="H85" i="26"/>
  <c r="H86" i="26"/>
  <c r="H87" i="26"/>
  <c r="H88" i="26"/>
  <c r="H89" i="26"/>
  <c r="H90" i="26"/>
  <c r="H91" i="26"/>
  <c r="H92" i="26"/>
  <c r="H93" i="26"/>
  <c r="H94" i="26"/>
  <c r="H95" i="26"/>
  <c r="H96" i="26"/>
  <c r="H97" i="26"/>
  <c r="H98" i="26"/>
  <c r="H99" i="26"/>
  <c r="H100" i="26"/>
  <c r="H101" i="26"/>
  <c r="H102" i="26"/>
  <c r="H103" i="26"/>
  <c r="H104" i="26"/>
  <c r="H105" i="26"/>
  <c r="H106" i="26"/>
  <c r="H107" i="26"/>
  <c r="H108" i="26"/>
  <c r="H109" i="26"/>
  <c r="H110" i="26"/>
  <c r="H111" i="26"/>
  <c r="H112" i="26"/>
  <c r="H113" i="26"/>
  <c r="H114" i="26"/>
  <c r="H115" i="26"/>
  <c r="H116" i="26"/>
  <c r="H117" i="26"/>
  <c r="H118" i="26"/>
  <c r="H119" i="26"/>
  <c r="H120" i="26"/>
  <c r="H121" i="26"/>
  <c r="H122" i="26"/>
  <c r="H123" i="26"/>
  <c r="H124" i="26"/>
  <c r="H125" i="26"/>
  <c r="H126" i="26"/>
  <c r="H127" i="26"/>
  <c r="H128" i="26"/>
  <c r="H129" i="26"/>
  <c r="H130" i="26"/>
  <c r="H131" i="26"/>
  <c r="H132" i="26"/>
  <c r="H133" i="26"/>
  <c r="H134" i="26"/>
  <c r="H135" i="26"/>
  <c r="H136" i="26"/>
  <c r="H137" i="26"/>
  <c r="H138" i="26"/>
  <c r="H139" i="26"/>
  <c r="H140" i="26"/>
  <c r="H141" i="26"/>
  <c r="H142" i="26"/>
  <c r="H143" i="26"/>
  <c r="H144" i="26"/>
  <c r="H145" i="26"/>
  <c r="H146" i="26"/>
  <c r="H147" i="26"/>
  <c r="H148" i="26"/>
  <c r="H149" i="26"/>
  <c r="H150" i="26"/>
  <c r="H151" i="26"/>
  <c r="H152" i="26"/>
  <c r="H153" i="26"/>
  <c r="H154" i="26"/>
  <c r="H155" i="26"/>
  <c r="H156" i="26"/>
  <c r="H157" i="26"/>
  <c r="H158" i="26"/>
  <c r="H159" i="26"/>
  <c r="H160" i="26"/>
  <c r="H14" i="26"/>
  <c r="G15" i="26"/>
  <c r="G18" i="26"/>
  <c r="G19" i="26"/>
  <c r="G20" i="26"/>
  <c r="G21" i="26"/>
  <c r="G22" i="26"/>
  <c r="G23" i="26"/>
  <c r="G24" i="26"/>
  <c r="G25" i="26"/>
  <c r="G26" i="26"/>
  <c r="G27" i="26"/>
  <c r="G28" i="26"/>
  <c r="G29" i="26"/>
  <c r="G30" i="26"/>
  <c r="G31" i="26"/>
  <c r="G32" i="26"/>
  <c r="G33" i="26"/>
  <c r="G34" i="26"/>
  <c r="G35" i="26"/>
  <c r="G36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49" i="26"/>
  <c r="G50" i="26"/>
  <c r="G51" i="26"/>
  <c r="G52" i="26"/>
  <c r="G53" i="26"/>
  <c r="G54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67" i="26"/>
  <c r="G68" i="26"/>
  <c r="G69" i="26"/>
  <c r="G70" i="26"/>
  <c r="G71" i="26"/>
  <c r="G72" i="26"/>
  <c r="G73" i="26"/>
  <c r="G74" i="26"/>
  <c r="G75" i="26"/>
  <c r="G76" i="26"/>
  <c r="G77" i="26"/>
  <c r="G78" i="26"/>
  <c r="G79" i="26"/>
  <c r="G80" i="26"/>
  <c r="G81" i="26"/>
  <c r="G82" i="26"/>
  <c r="G83" i="26"/>
  <c r="G84" i="26"/>
  <c r="G85" i="26"/>
  <c r="G86" i="26"/>
  <c r="G87" i="26"/>
  <c r="G88" i="26"/>
  <c r="G89" i="26"/>
  <c r="G90" i="26"/>
  <c r="G91" i="26"/>
  <c r="G92" i="26"/>
  <c r="G93" i="26"/>
  <c r="G94" i="26"/>
  <c r="G95" i="26"/>
  <c r="G96" i="26"/>
  <c r="G97" i="26"/>
  <c r="G98" i="26"/>
  <c r="G99" i="26"/>
  <c r="G100" i="26"/>
  <c r="G101" i="26"/>
  <c r="G102" i="26"/>
  <c r="G103" i="26"/>
  <c r="G104" i="26"/>
  <c r="G105" i="26"/>
  <c r="G106" i="26"/>
  <c r="G107" i="26"/>
  <c r="G108" i="26"/>
  <c r="G109" i="26"/>
  <c r="G110" i="26"/>
  <c r="G111" i="26"/>
  <c r="G112" i="26"/>
  <c r="G113" i="26"/>
  <c r="G114" i="26"/>
  <c r="G115" i="26"/>
  <c r="G116" i="26"/>
  <c r="G117" i="26"/>
  <c r="G118" i="26"/>
  <c r="G119" i="26"/>
  <c r="G120" i="26"/>
  <c r="G121" i="26"/>
  <c r="G122" i="26"/>
  <c r="G123" i="26"/>
  <c r="G124" i="26"/>
  <c r="G125" i="26"/>
  <c r="G126" i="26"/>
  <c r="G127" i="26"/>
  <c r="G128" i="26"/>
  <c r="G129" i="26"/>
  <c r="G130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C38" i="26"/>
  <c r="D38" i="26"/>
  <c r="C39" i="26"/>
  <c r="D39" i="26"/>
  <c r="C40" i="26"/>
  <c r="D40" i="26"/>
  <c r="C41" i="26"/>
  <c r="D41" i="26"/>
  <c r="C42" i="26"/>
  <c r="D42" i="26"/>
  <c r="C43" i="26"/>
  <c r="D43" i="26"/>
  <c r="C44" i="26"/>
  <c r="D44" i="26"/>
  <c r="C45" i="26"/>
  <c r="D45" i="26"/>
  <c r="C46" i="26"/>
  <c r="D46" i="26"/>
  <c r="C47" i="26"/>
  <c r="D47" i="26"/>
  <c r="C48" i="26"/>
  <c r="D48" i="26"/>
  <c r="C49" i="26"/>
  <c r="D49" i="26"/>
  <c r="C50" i="26"/>
  <c r="D50" i="26"/>
  <c r="C51" i="26"/>
  <c r="D51" i="26"/>
  <c r="C52" i="26"/>
  <c r="D52" i="26"/>
  <c r="C53" i="26"/>
  <c r="D53" i="26"/>
  <c r="C54" i="26"/>
  <c r="D54" i="26"/>
  <c r="C55" i="26"/>
  <c r="D55" i="26"/>
  <c r="C56" i="26"/>
  <c r="D56" i="26"/>
  <c r="C57" i="26"/>
  <c r="D57" i="26"/>
  <c r="C58" i="26"/>
  <c r="D58" i="26"/>
  <c r="C59" i="26"/>
  <c r="D59" i="26"/>
  <c r="C60" i="26"/>
  <c r="D60" i="26"/>
  <c r="C61" i="26"/>
  <c r="D61" i="26"/>
  <c r="C62" i="26"/>
  <c r="D62" i="26"/>
  <c r="C63" i="26"/>
  <c r="D63" i="26"/>
  <c r="C64" i="26"/>
  <c r="D64" i="26"/>
  <c r="C65" i="26"/>
  <c r="D65" i="26"/>
  <c r="C66" i="26"/>
  <c r="D66" i="26"/>
  <c r="C67" i="26"/>
  <c r="D67" i="26"/>
  <c r="C68" i="26"/>
  <c r="D68" i="26"/>
  <c r="C69" i="26"/>
  <c r="D69" i="26"/>
  <c r="C70" i="26"/>
  <c r="D70" i="26"/>
  <c r="C71" i="26"/>
  <c r="D71" i="26"/>
  <c r="C72" i="26"/>
  <c r="D72" i="26"/>
  <c r="C73" i="26"/>
  <c r="D73" i="26"/>
  <c r="C74" i="26"/>
  <c r="D74" i="26"/>
  <c r="C75" i="26"/>
  <c r="D75" i="26"/>
  <c r="C76" i="26"/>
  <c r="D76" i="26"/>
  <c r="C77" i="26"/>
  <c r="D77" i="26"/>
  <c r="C78" i="26"/>
  <c r="D78" i="26"/>
  <c r="C79" i="26"/>
  <c r="D79" i="26"/>
  <c r="C80" i="26"/>
  <c r="D80" i="26"/>
  <c r="C81" i="26"/>
  <c r="D81" i="26"/>
  <c r="C82" i="26"/>
  <c r="D82" i="26"/>
  <c r="C83" i="26"/>
  <c r="D83" i="26"/>
  <c r="C84" i="26"/>
  <c r="D84" i="26"/>
  <c r="C85" i="26"/>
  <c r="D85" i="26"/>
  <c r="C86" i="26"/>
  <c r="D86" i="26"/>
  <c r="C87" i="26"/>
  <c r="D87" i="26"/>
  <c r="C88" i="26"/>
  <c r="D88" i="26"/>
  <c r="C89" i="26"/>
  <c r="D89" i="26"/>
  <c r="C90" i="26"/>
  <c r="D90" i="26"/>
  <c r="C91" i="26"/>
  <c r="D91" i="26"/>
  <c r="C92" i="26"/>
  <c r="D92" i="26"/>
  <c r="C93" i="26"/>
  <c r="D93" i="26"/>
  <c r="C94" i="26"/>
  <c r="D94" i="26"/>
  <c r="C95" i="26"/>
  <c r="D95" i="26"/>
  <c r="C96" i="26"/>
  <c r="D96" i="26"/>
  <c r="C97" i="26"/>
  <c r="D97" i="26"/>
  <c r="C98" i="26"/>
  <c r="D98" i="26"/>
  <c r="C99" i="26"/>
  <c r="D99" i="26"/>
  <c r="C100" i="26"/>
  <c r="D100" i="26"/>
  <c r="C101" i="26"/>
  <c r="D101" i="26"/>
  <c r="C102" i="26"/>
  <c r="D102" i="26"/>
  <c r="C103" i="26"/>
  <c r="D103" i="26"/>
  <c r="C104" i="26"/>
  <c r="D104" i="26"/>
  <c r="C105" i="26"/>
  <c r="D105" i="26"/>
  <c r="C106" i="26"/>
  <c r="D106" i="26"/>
  <c r="C107" i="26"/>
  <c r="D107" i="26"/>
  <c r="C108" i="26"/>
  <c r="D108" i="26"/>
  <c r="C109" i="26"/>
  <c r="D109" i="26"/>
  <c r="C110" i="26"/>
  <c r="D110" i="26"/>
  <c r="C111" i="26"/>
  <c r="D111" i="26"/>
  <c r="C112" i="26"/>
  <c r="D112" i="26"/>
  <c r="C113" i="26"/>
  <c r="D113" i="26"/>
  <c r="C114" i="26"/>
  <c r="D114" i="26"/>
  <c r="C115" i="26"/>
  <c r="D115" i="26"/>
  <c r="C116" i="26"/>
  <c r="D116" i="26"/>
  <c r="C117" i="26"/>
  <c r="D117" i="26"/>
  <c r="C118" i="26"/>
  <c r="D118" i="26"/>
  <c r="C119" i="26"/>
  <c r="D119" i="26"/>
  <c r="C120" i="26"/>
  <c r="D120" i="26"/>
  <c r="C121" i="26"/>
  <c r="D121" i="26"/>
  <c r="C122" i="26"/>
  <c r="D122" i="26"/>
  <c r="C123" i="26"/>
  <c r="D123" i="26"/>
  <c r="C124" i="26"/>
  <c r="D124" i="26"/>
  <c r="C125" i="26"/>
  <c r="D125" i="26"/>
  <c r="C126" i="26"/>
  <c r="D126" i="26"/>
  <c r="C127" i="26"/>
  <c r="D127" i="26"/>
  <c r="C128" i="26"/>
  <c r="D128" i="26"/>
  <c r="C129" i="26"/>
  <c r="D129" i="26"/>
  <c r="C130" i="26"/>
  <c r="D130" i="26"/>
  <c r="C131" i="26"/>
  <c r="D131" i="26"/>
  <c r="C132" i="26"/>
  <c r="D132" i="26"/>
  <c r="C133" i="26"/>
  <c r="D133" i="26"/>
  <c r="C134" i="26"/>
  <c r="D134" i="26"/>
  <c r="C135" i="26"/>
  <c r="D135" i="26"/>
  <c r="C136" i="26"/>
  <c r="D136" i="26"/>
  <c r="C137" i="26"/>
  <c r="D137" i="26"/>
  <c r="C138" i="26"/>
  <c r="D138" i="26"/>
  <c r="C139" i="26"/>
  <c r="D139" i="26"/>
  <c r="C140" i="26"/>
  <c r="D140" i="26"/>
  <c r="C141" i="26"/>
  <c r="D141" i="26"/>
  <c r="C142" i="26"/>
  <c r="D142" i="26"/>
  <c r="C143" i="26"/>
  <c r="D143" i="26"/>
  <c r="C144" i="26"/>
  <c r="D144" i="26"/>
  <c r="C145" i="26"/>
  <c r="D145" i="26"/>
  <c r="C146" i="26"/>
  <c r="D146" i="26"/>
  <c r="C147" i="26"/>
  <c r="D147" i="26"/>
  <c r="C148" i="26"/>
  <c r="D148" i="26"/>
  <c r="C149" i="26"/>
  <c r="D149" i="26"/>
  <c r="C150" i="26"/>
  <c r="D150" i="26"/>
  <c r="C151" i="26"/>
  <c r="D151" i="26"/>
  <c r="C152" i="26"/>
  <c r="D152" i="26"/>
  <c r="C153" i="26"/>
  <c r="D153" i="26"/>
  <c r="C154" i="26"/>
  <c r="D154" i="26"/>
  <c r="C155" i="26"/>
  <c r="D155" i="26"/>
  <c r="C156" i="26"/>
  <c r="D156" i="26"/>
  <c r="C157" i="26"/>
  <c r="D157" i="26"/>
  <c r="C158" i="26"/>
  <c r="D158" i="26"/>
  <c r="C159" i="26"/>
  <c r="D159" i="26"/>
  <c r="C160" i="26"/>
  <c r="D160" i="26"/>
  <c r="D14" i="26"/>
  <c r="C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49" i="26"/>
  <c r="B50" i="26"/>
  <c r="B51" i="26"/>
  <c r="B52" i="26"/>
  <c r="B53" i="26"/>
  <c r="B54" i="26"/>
  <c r="B55" i="26"/>
  <c r="B56" i="26"/>
  <c r="B57" i="26"/>
  <c r="B58" i="26"/>
  <c r="B59" i="26"/>
  <c r="B60" i="26"/>
  <c r="B61" i="26"/>
  <c r="B62" i="26"/>
  <c r="B63" i="26"/>
  <c r="B64" i="26"/>
  <c r="B65" i="26"/>
  <c r="B66" i="26"/>
  <c r="B67" i="26"/>
  <c r="B68" i="26"/>
  <c r="B69" i="26"/>
  <c r="B70" i="26"/>
  <c r="B71" i="26"/>
  <c r="B72" i="26"/>
  <c r="B73" i="26"/>
  <c r="B74" i="26"/>
  <c r="B75" i="26"/>
  <c r="B76" i="26"/>
  <c r="B77" i="26"/>
  <c r="B78" i="26"/>
  <c r="B79" i="26"/>
  <c r="B80" i="26"/>
  <c r="B81" i="26"/>
  <c r="B82" i="26"/>
  <c r="B83" i="26"/>
  <c r="B84" i="26"/>
  <c r="B85" i="26"/>
  <c r="B86" i="26"/>
  <c r="B87" i="26"/>
  <c r="B88" i="26"/>
  <c r="B89" i="26"/>
  <c r="B90" i="26"/>
  <c r="B91" i="26"/>
  <c r="B92" i="26"/>
  <c r="B93" i="26"/>
  <c r="B94" i="26"/>
  <c r="B95" i="26"/>
  <c r="B96" i="26"/>
  <c r="B97" i="26"/>
  <c r="B98" i="26"/>
  <c r="B99" i="26"/>
  <c r="B100" i="26"/>
  <c r="B101" i="26"/>
  <c r="B102" i="26"/>
  <c r="B103" i="26"/>
  <c r="B104" i="26"/>
  <c r="B105" i="26"/>
  <c r="B106" i="26"/>
  <c r="B107" i="26"/>
  <c r="B108" i="26"/>
  <c r="B109" i="26"/>
  <c r="B110" i="26"/>
  <c r="B111" i="26"/>
  <c r="B112" i="26"/>
  <c r="B113" i="26"/>
  <c r="B114" i="26"/>
  <c r="B115" i="26"/>
  <c r="B116" i="26"/>
  <c r="B117" i="26"/>
  <c r="B118" i="26"/>
  <c r="B119" i="26"/>
  <c r="B120" i="26"/>
  <c r="B121" i="26"/>
  <c r="B122" i="26"/>
  <c r="B123" i="26"/>
  <c r="B124" i="26"/>
  <c r="B125" i="26"/>
  <c r="B126" i="26"/>
  <c r="B127" i="26"/>
  <c r="B128" i="26"/>
  <c r="B129" i="26"/>
  <c r="B130" i="26"/>
  <c r="B131" i="26"/>
  <c r="B132" i="26"/>
  <c r="B133" i="26"/>
  <c r="B134" i="26"/>
  <c r="B135" i="26"/>
  <c r="B136" i="26"/>
  <c r="B137" i="26"/>
  <c r="B138" i="26"/>
  <c r="B139" i="26"/>
  <c r="B140" i="26"/>
  <c r="B141" i="26"/>
  <c r="B142" i="26"/>
  <c r="B143" i="26"/>
  <c r="B144" i="26"/>
  <c r="B145" i="26"/>
  <c r="B146" i="26"/>
  <c r="B147" i="26"/>
  <c r="B148" i="26"/>
  <c r="B149" i="26"/>
  <c r="B150" i="26"/>
  <c r="B151" i="26"/>
  <c r="B152" i="26"/>
  <c r="B153" i="26"/>
  <c r="B154" i="26"/>
  <c r="B155" i="26"/>
  <c r="B156" i="26"/>
  <c r="B157" i="26"/>
  <c r="B158" i="26"/>
  <c r="B159" i="26"/>
  <c r="B160" i="26"/>
  <c r="B14" i="26"/>
  <c r="F16" i="26"/>
  <c r="AM16" i="26" s="1"/>
  <c r="F17" i="26"/>
  <c r="AM17" i="26" s="1"/>
  <c r="F18" i="26"/>
  <c r="AM18" i="26" s="1"/>
  <c r="F19" i="26"/>
  <c r="F20" i="26"/>
  <c r="AM20" i="26" s="1"/>
  <c r="F21" i="26"/>
  <c r="F22" i="26"/>
  <c r="F23" i="26"/>
  <c r="F24" i="26"/>
  <c r="F25" i="26"/>
  <c r="AM25" i="26" s="1"/>
  <c r="F26" i="26"/>
  <c r="AM26" i="26" s="1"/>
  <c r="F27" i="26"/>
  <c r="AM27" i="26" s="1"/>
  <c r="F28" i="26"/>
  <c r="AM28" i="26" s="1"/>
  <c r="F29" i="26"/>
  <c r="AM29" i="26" s="1"/>
  <c r="F30" i="26"/>
  <c r="AM30" i="26" s="1"/>
  <c r="F31" i="26"/>
  <c r="F32" i="26"/>
  <c r="AM32" i="26" s="1"/>
  <c r="F33" i="26"/>
  <c r="AM33" i="26" s="1"/>
  <c r="F34" i="26"/>
  <c r="AM34" i="26" s="1"/>
  <c r="F35" i="26"/>
  <c r="AM35" i="26" s="1"/>
  <c r="F36" i="26"/>
  <c r="F37" i="26"/>
  <c r="F38" i="26"/>
  <c r="AM38" i="26" s="1"/>
  <c r="F39" i="26"/>
  <c r="AM39" i="26" s="1"/>
  <c r="F40" i="26"/>
  <c r="AM40" i="26" s="1"/>
  <c r="F41" i="26"/>
  <c r="AM41" i="26" s="1"/>
  <c r="F42" i="26"/>
  <c r="AM42" i="26" s="1"/>
  <c r="F43" i="26"/>
  <c r="AM43" i="26" s="1"/>
  <c r="F44" i="26"/>
  <c r="AM44" i="26" s="1"/>
  <c r="F45" i="26"/>
  <c r="AM45" i="26" s="1"/>
  <c r="F46" i="26"/>
  <c r="AM46" i="26" s="1"/>
  <c r="F47" i="26"/>
  <c r="F48" i="26"/>
  <c r="AM48" i="26" s="1"/>
  <c r="F49" i="26"/>
  <c r="AM49" i="26" s="1"/>
  <c r="F50" i="26"/>
  <c r="AM50" i="26" s="1"/>
  <c r="F51" i="26"/>
  <c r="AM51" i="26" s="1"/>
  <c r="F52" i="26"/>
  <c r="F53" i="26"/>
  <c r="F54" i="26"/>
  <c r="AM54" i="26" s="1"/>
  <c r="F55" i="26"/>
  <c r="AM55" i="26" s="1"/>
  <c r="F56" i="26"/>
  <c r="AM56" i="26" s="1"/>
  <c r="F57" i="26"/>
  <c r="F58" i="26"/>
  <c r="AM58" i="26" s="1"/>
  <c r="F59" i="26"/>
  <c r="AM59" i="26" s="1"/>
  <c r="F60" i="26"/>
  <c r="AM60" i="26" s="1"/>
  <c r="F61" i="26"/>
  <c r="AM61" i="26" s="1"/>
  <c r="F62" i="26"/>
  <c r="AM62" i="26" s="1"/>
  <c r="F63" i="26"/>
  <c r="AM63" i="26" s="1"/>
  <c r="F64" i="26"/>
  <c r="AM64" i="26" s="1"/>
  <c r="F65" i="26"/>
  <c r="F66" i="26"/>
  <c r="AM66" i="26" s="1"/>
  <c r="F67" i="26"/>
  <c r="AM67" i="26" s="1"/>
  <c r="F68" i="26"/>
  <c r="AM68" i="26" s="1"/>
  <c r="F69" i="26"/>
  <c r="F70" i="26"/>
  <c r="F71" i="26"/>
  <c r="AM71" i="26" s="1"/>
  <c r="F72" i="26"/>
  <c r="F73" i="26"/>
  <c r="AM73" i="26" s="1"/>
  <c r="F74" i="26"/>
  <c r="AM74" i="26" s="1"/>
  <c r="F75" i="26"/>
  <c r="AM75" i="26" s="1"/>
  <c r="F76" i="26"/>
  <c r="AM76" i="26" s="1"/>
  <c r="F77" i="26"/>
  <c r="AM77" i="26" s="1"/>
  <c r="F78" i="26"/>
  <c r="AM78" i="26" s="1"/>
  <c r="F79" i="26"/>
  <c r="AM79" i="26" s="1"/>
  <c r="F80" i="26"/>
  <c r="AM80" i="26" s="1"/>
  <c r="F81" i="26"/>
  <c r="AM81" i="26" s="1"/>
  <c r="F82" i="26"/>
  <c r="F83" i="26"/>
  <c r="AM83" i="26" s="1"/>
  <c r="F84" i="26"/>
  <c r="AM84" i="26" s="1"/>
  <c r="F85" i="26"/>
  <c r="F86" i="26"/>
  <c r="F87" i="26"/>
  <c r="AM87" i="26" s="1"/>
  <c r="F88" i="26"/>
  <c r="AM88" i="26" s="1"/>
  <c r="F89" i="26"/>
  <c r="AM89" i="26" s="1"/>
  <c r="F90" i="26"/>
  <c r="AM90" i="26" s="1"/>
  <c r="F91" i="26"/>
  <c r="AM91" i="26" s="1"/>
  <c r="F92" i="26"/>
  <c r="AM92" i="26" s="1"/>
  <c r="F93" i="26"/>
  <c r="AM93" i="26" s="1"/>
  <c r="F94" i="26"/>
  <c r="AM94" i="26" s="1"/>
  <c r="F95" i="26"/>
  <c r="AM95" i="26" s="1"/>
  <c r="F96" i="26"/>
  <c r="AM96" i="26" s="1"/>
  <c r="F97" i="26"/>
  <c r="F98" i="26"/>
  <c r="AM98" i="26" s="1"/>
  <c r="F99" i="26"/>
  <c r="F100" i="26"/>
  <c r="AM100" i="26" s="1"/>
  <c r="F101" i="26"/>
  <c r="AM101" i="26" s="1"/>
  <c r="F102" i="26"/>
  <c r="F103" i="26"/>
  <c r="AM103" i="26" s="1"/>
  <c r="F104" i="26"/>
  <c r="AM104" i="26" s="1"/>
  <c r="F105" i="26"/>
  <c r="AM105" i="26" s="1"/>
  <c r="F106" i="26"/>
  <c r="AM106" i="26" s="1"/>
  <c r="F107" i="26"/>
  <c r="AM107" i="26" s="1"/>
  <c r="F108" i="26"/>
  <c r="AM108" i="26" s="1"/>
  <c r="F109" i="26"/>
  <c r="AM109" i="26" s="1"/>
  <c r="F110" i="26"/>
  <c r="AM110" i="26" s="1"/>
  <c r="F111" i="26"/>
  <c r="F112" i="26"/>
  <c r="F113" i="26"/>
  <c r="AM113" i="26" s="1"/>
  <c r="F114" i="26"/>
  <c r="AM114" i="26" s="1"/>
  <c r="F115" i="26"/>
  <c r="AM115" i="26" s="1"/>
  <c r="F116" i="26"/>
  <c r="AM116" i="26" s="1"/>
  <c r="F117" i="26"/>
  <c r="AM117" i="26" s="1"/>
  <c r="F118" i="26"/>
  <c r="F119" i="26"/>
  <c r="AM119" i="26" s="1"/>
  <c r="F120" i="26"/>
  <c r="AM120" i="26" s="1"/>
  <c r="F121" i="26"/>
  <c r="AM121" i="26" s="1"/>
  <c r="F122" i="26"/>
  <c r="AM122" i="26" s="1"/>
  <c r="F123" i="26"/>
  <c r="AM123" i="26" s="1"/>
  <c r="F124" i="26"/>
  <c r="F125" i="26"/>
  <c r="AM125" i="26" s="1"/>
  <c r="F126" i="26"/>
  <c r="AM126" i="26" s="1"/>
  <c r="F127" i="26"/>
  <c r="F128" i="26"/>
  <c r="AM128" i="26" s="1"/>
  <c r="F129" i="26"/>
  <c r="AM129" i="26" s="1"/>
  <c r="F130" i="26"/>
  <c r="AM130" i="26" s="1"/>
  <c r="F131" i="26"/>
  <c r="F132" i="26"/>
  <c r="AM132" i="26" s="1"/>
  <c r="F133" i="26"/>
  <c r="AM133" i="26" s="1"/>
  <c r="F134" i="26"/>
  <c r="AM134" i="26" s="1"/>
  <c r="F135" i="26"/>
  <c r="F136" i="26"/>
  <c r="AM136" i="26" s="1"/>
  <c r="F137" i="26"/>
  <c r="F138" i="26"/>
  <c r="AM138" i="26" s="1"/>
  <c r="F139" i="26"/>
  <c r="AM139" i="26" s="1"/>
  <c r="F140" i="26"/>
  <c r="AM140" i="26" s="1"/>
  <c r="F141" i="26"/>
  <c r="AM141" i="26" s="1"/>
  <c r="F142" i="26"/>
  <c r="AM142" i="26" s="1"/>
  <c r="F143" i="26"/>
  <c r="F144" i="26"/>
  <c r="AM144" i="26" s="1"/>
  <c r="F145" i="26"/>
  <c r="AM145" i="26" s="1"/>
  <c r="F146" i="26"/>
  <c r="AM146" i="26" s="1"/>
  <c r="F147" i="26"/>
  <c r="AM147" i="26" s="1"/>
  <c r="F148" i="26"/>
  <c r="AM148" i="26" s="1"/>
  <c r="F149" i="26"/>
  <c r="AM149" i="26" s="1"/>
  <c r="F150" i="26"/>
  <c r="AM150" i="26" s="1"/>
  <c r="F151" i="26"/>
  <c r="F152" i="26"/>
  <c r="AM152" i="26" s="1"/>
  <c r="F153" i="26"/>
  <c r="AM153" i="26" s="1"/>
  <c r="F154" i="26"/>
  <c r="AM154" i="26" s="1"/>
  <c r="F155" i="26"/>
  <c r="AM155" i="26" s="1"/>
  <c r="F156" i="26"/>
  <c r="AM156" i="26" s="1"/>
  <c r="F157" i="26"/>
  <c r="AM157" i="26" s="1"/>
  <c r="F158" i="26"/>
  <c r="AM158" i="26" s="1"/>
  <c r="F159" i="26"/>
  <c r="AM159" i="26" s="1"/>
  <c r="F160" i="26"/>
  <c r="AM160" i="26" s="1"/>
  <c r="F14" i="26"/>
  <c r="AM14" i="26" s="1"/>
  <c r="J158" i="25"/>
  <c r="I158" i="25"/>
  <c r="D9" i="24" a="1"/>
  <c r="D9" i="24" s="1"/>
  <c r="AK143" i="26" l="1"/>
  <c r="AM143" i="26"/>
  <c r="AK127" i="26"/>
  <c r="AM127" i="26"/>
  <c r="AK111" i="26"/>
  <c r="AM111" i="26"/>
  <c r="AK47" i="26"/>
  <c r="AM47" i="26"/>
  <c r="AK31" i="26"/>
  <c r="AM31" i="26"/>
  <c r="AK97" i="26"/>
  <c r="AM97" i="26"/>
  <c r="AK112" i="26"/>
  <c r="AM112" i="26"/>
  <c r="AK82" i="26"/>
  <c r="AM82" i="26"/>
  <c r="AK124" i="26"/>
  <c r="AM124" i="26"/>
  <c r="AK57" i="26"/>
  <c r="AM57" i="26"/>
  <c r="AK72" i="26"/>
  <c r="AM72" i="26"/>
  <c r="AK24" i="26"/>
  <c r="AM24" i="26"/>
  <c r="AK23" i="26"/>
  <c r="AM23" i="26"/>
  <c r="AK65" i="26"/>
  <c r="AM65" i="26"/>
  <c r="AK118" i="26"/>
  <c r="AM118" i="26"/>
  <c r="AK102" i="26"/>
  <c r="AM102" i="26"/>
  <c r="AK86" i="26"/>
  <c r="AM86" i="26"/>
  <c r="AK70" i="26"/>
  <c r="AM70" i="26"/>
  <c r="AK22" i="26"/>
  <c r="AM22" i="26"/>
  <c r="AK85" i="26"/>
  <c r="AM85" i="26"/>
  <c r="AK69" i="26"/>
  <c r="AM69" i="26"/>
  <c r="AK53" i="26"/>
  <c r="AM53" i="26"/>
  <c r="AK37" i="26"/>
  <c r="AM37" i="26"/>
  <c r="AK21" i="26"/>
  <c r="AM21" i="26"/>
  <c r="AK137" i="26"/>
  <c r="AM137" i="26"/>
  <c r="AK151" i="26"/>
  <c r="AM151" i="26"/>
  <c r="AK52" i="26"/>
  <c r="AM52" i="26"/>
  <c r="AK36" i="26"/>
  <c r="AM36" i="26"/>
  <c r="AK135" i="26"/>
  <c r="AM135" i="26"/>
  <c r="AK131" i="26"/>
  <c r="AM131" i="26"/>
  <c r="AK99" i="26"/>
  <c r="AM99" i="26"/>
  <c r="C75" i="27"/>
  <c r="G14" i="26"/>
  <c r="Q14" i="26" s="1"/>
  <c r="G17" i="26"/>
  <c r="X17" i="26" s="1" a="1"/>
  <c r="X17" i="26" s="1"/>
  <c r="AB17" i="26" s="1" a="1"/>
  <c r="AB17" i="26" s="1"/>
  <c r="AK19" i="26"/>
  <c r="AM19" i="26"/>
  <c r="AK15" i="26"/>
  <c r="AK150" i="26"/>
  <c r="AK66" i="26"/>
  <c r="AK98" i="26"/>
  <c r="AK38" i="26"/>
  <c r="AK95" i="26"/>
  <c r="M18" i="26"/>
  <c r="AK39" i="26"/>
  <c r="M68" i="26"/>
  <c r="AK159" i="26"/>
  <c r="M44" i="26"/>
  <c r="Q73" i="26"/>
  <c r="K132" i="26"/>
  <c r="K52" i="26"/>
  <c r="Q31" i="26"/>
  <c r="Q113" i="26"/>
  <c r="Q41" i="26"/>
  <c r="K148" i="26"/>
  <c r="K124" i="26"/>
  <c r="K95" i="26"/>
  <c r="K71" i="26"/>
  <c r="K23" i="26"/>
  <c r="K15" i="26"/>
  <c r="M92" i="26"/>
  <c r="M153" i="26"/>
  <c r="Q145" i="26"/>
  <c r="K121" i="26"/>
  <c r="Q105" i="26"/>
  <c r="K89" i="26"/>
  <c r="K81" i="26"/>
  <c r="K57" i="26"/>
  <c r="M108" i="26"/>
  <c r="K76" i="26"/>
  <c r="M20" i="26"/>
  <c r="S149" i="26"/>
  <c r="S125" i="26"/>
  <c r="S93" i="26"/>
  <c r="S77" i="26"/>
  <c r="S61" i="26"/>
  <c r="S29" i="26"/>
  <c r="X155" i="26" a="1"/>
  <c r="X155" i="26" s="1"/>
  <c r="AB155" i="26" s="1" a="1"/>
  <c r="AB155" i="26" s="1"/>
  <c r="M147" i="26"/>
  <c r="K139" i="26"/>
  <c r="M115" i="26"/>
  <c r="K107" i="26"/>
  <c r="M91" i="26"/>
  <c r="K67" i="26"/>
  <c r="M59" i="26"/>
  <c r="K51" i="26"/>
  <c r="M35" i="26"/>
  <c r="K158" i="26"/>
  <c r="K142" i="26"/>
  <c r="M118" i="26"/>
  <c r="K122" i="26"/>
  <c r="Q114" i="26"/>
  <c r="M106" i="26"/>
  <c r="K98" i="26"/>
  <c r="M82" i="26"/>
  <c r="M66" i="26"/>
  <c r="K58" i="26"/>
  <c r="K50" i="26"/>
  <c r="M42" i="26"/>
  <c r="K34" i="26"/>
  <c r="K157" i="26"/>
  <c r="M149" i="26"/>
  <c r="K141" i="26"/>
  <c r="K125" i="26"/>
  <c r="M117" i="26"/>
  <c r="M93" i="26"/>
  <c r="K77" i="26"/>
  <c r="K69" i="26"/>
  <c r="M45" i="26"/>
  <c r="K21" i="26"/>
  <c r="K96" i="26"/>
  <c r="K88" i="26"/>
  <c r="K40" i="26"/>
  <c r="AK105" i="26"/>
  <c r="M154" i="26"/>
  <c r="M130" i="26"/>
  <c r="Q106" i="26"/>
  <c r="K90" i="26"/>
  <c r="Q50" i="26"/>
  <c r="Q42" i="26"/>
  <c r="K26" i="26"/>
  <c r="Q18" i="26"/>
  <c r="M137" i="26"/>
  <c r="K41" i="26"/>
  <c r="S24" i="26"/>
  <c r="AK145" i="26"/>
  <c r="M152" i="26"/>
  <c r="Q136" i="26"/>
  <c r="K120" i="26"/>
  <c r="Q104" i="26"/>
  <c r="M64" i="26"/>
  <c r="K48" i="26"/>
  <c r="AK41" i="26"/>
  <c r="AK129" i="26"/>
  <c r="S156" i="26"/>
  <c r="S152" i="26"/>
  <c r="S136" i="26"/>
  <c r="S124" i="26"/>
  <c r="S108" i="26"/>
  <c r="S96" i="26"/>
  <c r="S88" i="26"/>
  <c r="S80" i="26"/>
  <c r="S64" i="26"/>
  <c r="S52" i="26"/>
  <c r="S44" i="26"/>
  <c r="S32" i="26"/>
  <c r="S20" i="26"/>
  <c r="AK48" i="26"/>
  <c r="AL96" i="26"/>
  <c r="AL108" i="26"/>
  <c r="AL156" i="26"/>
  <c r="M158" i="26"/>
  <c r="Q94" i="26"/>
  <c r="M46" i="26"/>
  <c r="M22" i="26"/>
  <c r="M145" i="26"/>
  <c r="K105" i="26"/>
  <c r="K97" i="26"/>
  <c r="K49" i="26"/>
  <c r="K25" i="26"/>
  <c r="K113" i="26"/>
  <c r="S159" i="26"/>
  <c r="S151" i="26"/>
  <c r="S143" i="26"/>
  <c r="S135" i="26"/>
  <c r="S127" i="26"/>
  <c r="S119" i="26"/>
  <c r="S111" i="26"/>
  <c r="S103" i="26"/>
  <c r="S95" i="26"/>
  <c r="S87" i="26"/>
  <c r="S79" i="26"/>
  <c r="S71" i="26"/>
  <c r="S63" i="26"/>
  <c r="S55" i="26"/>
  <c r="S47" i="26"/>
  <c r="S39" i="26"/>
  <c r="S31" i="26"/>
  <c r="S23" i="26"/>
  <c r="S15" i="26"/>
  <c r="S128" i="26"/>
  <c r="S116" i="26"/>
  <c r="S60" i="26"/>
  <c r="AK16" i="26"/>
  <c r="AK33" i="26"/>
  <c r="AK64" i="26"/>
  <c r="K149" i="26"/>
  <c r="K133" i="26"/>
  <c r="K85" i="26"/>
  <c r="M128" i="26"/>
  <c r="M104" i="26"/>
  <c r="K80" i="26"/>
  <c r="Q72" i="26"/>
  <c r="M56" i="26"/>
  <c r="M32" i="26"/>
  <c r="K24" i="26"/>
  <c r="G16" i="26"/>
  <c r="Q16" i="26" s="1"/>
  <c r="AK25" i="26"/>
  <c r="AK81" i="26"/>
  <c r="AK113" i="26"/>
  <c r="Q144" i="26"/>
  <c r="K112" i="26"/>
  <c r="M96" i="26"/>
  <c r="M72" i="26"/>
  <c r="K56" i="26"/>
  <c r="Q40" i="26"/>
  <c r="Q32" i="26"/>
  <c r="M136" i="26"/>
  <c r="M119" i="26"/>
  <c r="M95" i="26"/>
  <c r="K79" i="26"/>
  <c r="M71" i="26"/>
  <c r="K33" i="26"/>
  <c r="S148" i="26"/>
  <c r="S132" i="26"/>
  <c r="S120" i="26"/>
  <c r="S112" i="26"/>
  <c r="S104" i="26"/>
  <c r="S92" i="26"/>
  <c r="S84" i="26"/>
  <c r="S76" i="26"/>
  <c r="S68" i="26"/>
  <c r="S56" i="26"/>
  <c r="S48" i="26"/>
  <c r="S36" i="26"/>
  <c r="S28" i="26"/>
  <c r="S16" i="26"/>
  <c r="AK56" i="26"/>
  <c r="AL88" i="26"/>
  <c r="AL116" i="26"/>
  <c r="AL124" i="26"/>
  <c r="AL132" i="26"/>
  <c r="M31" i="26"/>
  <c r="S158" i="26"/>
  <c r="S126" i="26"/>
  <c r="S118" i="26"/>
  <c r="S110" i="26"/>
  <c r="S102" i="26"/>
  <c r="S94" i="26"/>
  <c r="S86" i="26"/>
  <c r="S62" i="26"/>
  <c r="S46" i="26"/>
  <c r="S38" i="26"/>
  <c r="S22" i="26"/>
  <c r="X146" i="26" a="1"/>
  <c r="X146" i="26" s="1"/>
  <c r="AB146" i="26" s="1" a="1"/>
  <c r="AB146" i="26" s="1"/>
  <c r="K146" i="26"/>
  <c r="Q146" i="26"/>
  <c r="X138" i="26" a="1"/>
  <c r="X138" i="26" s="1"/>
  <c r="AB138" i="26" s="1" a="1"/>
  <c r="AB138" i="26" s="1"/>
  <c r="Q138" i="26"/>
  <c r="K138" i="26"/>
  <c r="AK156" i="26"/>
  <c r="X156" i="26" a="1"/>
  <c r="X156" i="26" s="1"/>
  <c r="AB156" i="26" s="1" a="1"/>
  <c r="AB156" i="26" s="1"/>
  <c r="Q156" i="26"/>
  <c r="M156" i="26"/>
  <c r="X148" i="26" a="1"/>
  <c r="X148" i="26" s="1"/>
  <c r="AB148" i="26" s="1" a="1"/>
  <c r="AB148" i="26" s="1"/>
  <c r="M148" i="26"/>
  <c r="Q148" i="26"/>
  <c r="X140" i="26" a="1"/>
  <c r="X140" i="26" s="1"/>
  <c r="AB140" i="26" s="1" a="1"/>
  <c r="AB140" i="26" s="1"/>
  <c r="Q140" i="26"/>
  <c r="M140" i="26"/>
  <c r="X132" i="26" a="1"/>
  <c r="X132" i="26" s="1"/>
  <c r="AB132" i="26" s="1" a="1"/>
  <c r="AB132" i="26" s="1"/>
  <c r="Q132" i="26"/>
  <c r="M132" i="26"/>
  <c r="X124" i="26" a="1"/>
  <c r="X124" i="26" s="1"/>
  <c r="AB124" i="26" s="1" a="1"/>
  <c r="AB124" i="26" s="1"/>
  <c r="M124" i="26"/>
  <c r="Q124" i="26"/>
  <c r="AK116" i="26"/>
  <c r="X116" i="26" a="1"/>
  <c r="X116" i="26" s="1"/>
  <c r="AB116" i="26" s="1" a="1"/>
  <c r="AB116" i="26" s="1"/>
  <c r="M116" i="26"/>
  <c r="Q116" i="26"/>
  <c r="X108" i="26" a="1"/>
  <c r="X108" i="26" s="1"/>
  <c r="AB108" i="26" s="1" a="1"/>
  <c r="AB108" i="26" s="1"/>
  <c r="Q108" i="26"/>
  <c r="K108" i="26"/>
  <c r="X100" i="26" a="1"/>
  <c r="X100" i="26" s="1"/>
  <c r="AB100" i="26" s="1" a="1"/>
  <c r="AB100" i="26" s="1"/>
  <c r="Q100" i="26"/>
  <c r="K100" i="26"/>
  <c r="M100" i="26"/>
  <c r="X92" i="26" a="1"/>
  <c r="X92" i="26" s="1"/>
  <c r="AB92" i="26" s="1" a="1"/>
  <c r="AB92" i="26" s="1"/>
  <c r="Q92" i="26"/>
  <c r="K92" i="26"/>
  <c r="X84" i="26" a="1"/>
  <c r="X84" i="26" s="1"/>
  <c r="AB84" i="26" s="1" a="1"/>
  <c r="AB84" i="26" s="1"/>
  <c r="K84" i="26"/>
  <c r="Q84" i="26"/>
  <c r="M84" i="26"/>
  <c r="X76" i="26" a="1"/>
  <c r="X76" i="26" s="1"/>
  <c r="AB76" i="26" s="1" a="1"/>
  <c r="AB76" i="26" s="1"/>
  <c r="Q76" i="26"/>
  <c r="M76" i="26"/>
  <c r="X68" i="26" a="1"/>
  <c r="X68" i="26" s="1"/>
  <c r="AB68" i="26" s="1" a="1"/>
  <c r="AB68" i="26" s="1"/>
  <c r="Q68" i="26"/>
  <c r="X60" i="26" a="1"/>
  <c r="X60" i="26" s="1"/>
  <c r="AB60" i="26" s="1" a="1"/>
  <c r="AB60" i="26" s="1"/>
  <c r="Q60" i="26"/>
  <c r="M60" i="26"/>
  <c r="X52" i="26" a="1"/>
  <c r="X52" i="26" s="1"/>
  <c r="AB52" i="26" s="1" a="1"/>
  <c r="AB52" i="26" s="1"/>
  <c r="M52" i="26"/>
  <c r="Q52" i="26"/>
  <c r="X44" i="26" a="1"/>
  <c r="X44" i="26" s="1"/>
  <c r="AB44" i="26" s="1" a="1"/>
  <c r="AB44" i="26" s="1"/>
  <c r="Q44" i="26"/>
  <c r="K44" i="26"/>
  <c r="X36" i="26" a="1"/>
  <c r="X36" i="26" s="1"/>
  <c r="AB36" i="26" s="1" a="1"/>
  <c r="AB36" i="26" s="1"/>
  <c r="Q36" i="26"/>
  <c r="K36" i="26"/>
  <c r="M36" i="26"/>
  <c r="Q28" i="26"/>
  <c r="X28" i="26" a="1"/>
  <c r="X28" i="26" s="1"/>
  <c r="AB28" i="26" s="1" a="1"/>
  <c r="AB28" i="26" s="1"/>
  <c r="K28" i="26"/>
  <c r="M28" i="26"/>
  <c r="X20" i="26" a="1"/>
  <c r="X20" i="26" s="1"/>
  <c r="AB20" i="26" s="1" a="1"/>
  <c r="AB20" i="26" s="1"/>
  <c r="Q20" i="26"/>
  <c r="K20" i="26"/>
  <c r="K115" i="26"/>
  <c r="K60" i="26"/>
  <c r="K42" i="26"/>
  <c r="M139" i="26"/>
  <c r="S160" i="26"/>
  <c r="K114" i="26"/>
  <c r="K59" i="26"/>
  <c r="M157" i="26"/>
  <c r="M138" i="26"/>
  <c r="M69" i="26"/>
  <c r="K147" i="26"/>
  <c r="K131" i="26"/>
  <c r="M155" i="26"/>
  <c r="M19" i="26"/>
  <c r="Q51" i="26"/>
  <c r="K106" i="26"/>
  <c r="M83" i="26"/>
  <c r="X123" i="26" a="1"/>
  <c r="X123" i="26" s="1"/>
  <c r="AB123" i="26" s="1" a="1"/>
  <c r="AB123" i="26" s="1"/>
  <c r="Q123" i="26"/>
  <c r="M123" i="26"/>
  <c r="X99" i="26" a="1"/>
  <c r="X99" i="26" s="1"/>
  <c r="AB99" i="26" s="1" a="1"/>
  <c r="AB99" i="26" s="1"/>
  <c r="Q99" i="26"/>
  <c r="M99" i="26"/>
  <c r="K99" i="26"/>
  <c r="X75" i="26" a="1"/>
  <c r="X75" i="26" s="1"/>
  <c r="AB75" i="26" s="1" a="1"/>
  <c r="AB75" i="26" s="1"/>
  <c r="Q75" i="26"/>
  <c r="M75" i="26"/>
  <c r="K75" i="26"/>
  <c r="X51" i="26" a="1"/>
  <c r="X51" i="26" s="1"/>
  <c r="AB51" i="26" s="1" a="1"/>
  <c r="AB51" i="26" s="1"/>
  <c r="M51" i="26"/>
  <c r="Q27" i="26"/>
  <c r="X27" i="26" a="1"/>
  <c r="X27" i="26" s="1"/>
  <c r="AB27" i="26" s="1" a="1"/>
  <c r="AB27" i="26" s="1"/>
  <c r="K27" i="26"/>
  <c r="M27" i="26"/>
  <c r="AK75" i="26"/>
  <c r="X159" i="26" a="1"/>
  <c r="X159" i="26" s="1"/>
  <c r="AB159" i="26" s="1" a="1"/>
  <c r="AB159" i="26" s="1"/>
  <c r="Q159" i="26"/>
  <c r="M159" i="26"/>
  <c r="K159" i="26"/>
  <c r="X151" i="26" a="1"/>
  <c r="X151" i="26" s="1"/>
  <c r="AB151" i="26" s="1" a="1"/>
  <c r="AB151" i="26" s="1"/>
  <c r="Q151" i="26"/>
  <c r="M151" i="26"/>
  <c r="K151" i="26"/>
  <c r="X143" i="26" a="1"/>
  <c r="X143" i="26" s="1"/>
  <c r="AB143" i="26" s="1" a="1"/>
  <c r="AB143" i="26" s="1"/>
  <c r="Q143" i="26"/>
  <c r="M143" i="26"/>
  <c r="K143" i="26"/>
  <c r="X135" i="26" a="1"/>
  <c r="X135" i="26" s="1"/>
  <c r="AB135" i="26" s="1" a="1"/>
  <c r="AB135" i="26" s="1"/>
  <c r="M135" i="26"/>
  <c r="K135" i="26"/>
  <c r="X127" i="26" a="1"/>
  <c r="X127" i="26" s="1"/>
  <c r="AB127" i="26" s="1" a="1"/>
  <c r="AB127" i="26" s="1"/>
  <c r="Q127" i="26"/>
  <c r="K127" i="26"/>
  <c r="X119" i="26" a="1"/>
  <c r="X119" i="26" s="1"/>
  <c r="AB119" i="26" s="1" a="1"/>
  <c r="AB119" i="26" s="1"/>
  <c r="Q119" i="26"/>
  <c r="K119" i="26"/>
  <c r="X111" i="26" a="1"/>
  <c r="X111" i="26" s="1"/>
  <c r="AB111" i="26" s="1" a="1"/>
  <c r="AB111" i="26" s="1"/>
  <c r="Q111" i="26"/>
  <c r="M111" i="26"/>
  <c r="K111" i="26"/>
  <c r="X103" i="26" a="1"/>
  <c r="X103" i="26" s="1"/>
  <c r="AB103" i="26" s="1" a="1"/>
  <c r="AB103" i="26" s="1"/>
  <c r="M103" i="26"/>
  <c r="Q103" i="26"/>
  <c r="K103" i="26"/>
  <c r="X95" i="26" a="1"/>
  <c r="X95" i="26" s="1"/>
  <c r="AB95" i="26" s="1" a="1"/>
  <c r="AB95" i="26" s="1"/>
  <c r="Q95" i="26"/>
  <c r="X87" i="26" a="1"/>
  <c r="X87" i="26" s="1"/>
  <c r="AB87" i="26" s="1" a="1"/>
  <c r="AB87" i="26" s="1"/>
  <c r="Q87" i="26"/>
  <c r="M87" i="26"/>
  <c r="X79" i="26" a="1"/>
  <c r="X79" i="26" s="1"/>
  <c r="AB79" i="26" s="1" a="1"/>
  <c r="AB79" i="26" s="1"/>
  <c r="Q79" i="26"/>
  <c r="M79" i="26"/>
  <c r="X71" i="26" a="1"/>
  <c r="X71" i="26" s="1"/>
  <c r="AB71" i="26" s="1" a="1"/>
  <c r="AB71" i="26" s="1"/>
  <c r="Q71" i="26"/>
  <c r="X63" i="26" a="1"/>
  <c r="X63" i="26" s="1"/>
  <c r="AB63" i="26" s="1" a="1"/>
  <c r="AB63" i="26" s="1"/>
  <c r="M63" i="26"/>
  <c r="Q63" i="26"/>
  <c r="K63" i="26"/>
  <c r="X55" i="26" a="1"/>
  <c r="X55" i="26" s="1"/>
  <c r="AB55" i="26" s="1" a="1"/>
  <c r="AB55" i="26" s="1"/>
  <c r="Q55" i="26"/>
  <c r="K55" i="26"/>
  <c r="X47" i="26" a="1"/>
  <c r="X47" i="26" s="1"/>
  <c r="AB47" i="26" s="1" a="1"/>
  <c r="AB47" i="26" s="1"/>
  <c r="Q47" i="26"/>
  <c r="K47" i="26"/>
  <c r="M47" i="26"/>
  <c r="K156" i="26"/>
  <c r="K140" i="26"/>
  <c r="K123" i="26"/>
  <c r="K87" i="26"/>
  <c r="K68" i="26"/>
  <c r="K32" i="26"/>
  <c r="Q155" i="26"/>
  <c r="X147" i="26" a="1"/>
  <c r="X147" i="26" s="1"/>
  <c r="AB147" i="26" s="1" a="1"/>
  <c r="AB147" i="26" s="1"/>
  <c r="Q147" i="26"/>
  <c r="AK147" i="26"/>
  <c r="X131" i="26" a="1"/>
  <c r="X131" i="26" s="1"/>
  <c r="AB131" i="26" s="1" a="1"/>
  <c r="AB131" i="26" s="1"/>
  <c r="Q131" i="26"/>
  <c r="M131" i="26"/>
  <c r="X115" i="26" a="1"/>
  <c r="X115" i="26" s="1"/>
  <c r="AB115" i="26" s="1" a="1"/>
  <c r="AB115" i="26" s="1"/>
  <c r="Q115" i="26"/>
  <c r="X91" i="26" a="1"/>
  <c r="X91" i="26" s="1"/>
  <c r="AB91" i="26" s="1" a="1"/>
  <c r="AB91" i="26" s="1"/>
  <c r="K91" i="26"/>
  <c r="Q91" i="26"/>
  <c r="X59" i="26" a="1"/>
  <c r="X59" i="26" s="1"/>
  <c r="AB59" i="26" s="1" a="1"/>
  <c r="AB59" i="26" s="1"/>
  <c r="Q59" i="26"/>
  <c r="Q35" i="26"/>
  <c r="X35" i="26" a="1"/>
  <c r="X35" i="26" s="1"/>
  <c r="AB35" i="26" s="1" a="1"/>
  <c r="AB35" i="26" s="1"/>
  <c r="K35" i="26"/>
  <c r="X154" i="26" a="1"/>
  <c r="X154" i="26" s="1"/>
  <c r="AB154" i="26" s="1" a="1"/>
  <c r="AB154" i="26" s="1"/>
  <c r="K154" i="26"/>
  <c r="Q154" i="26"/>
  <c r="X130" i="26" a="1"/>
  <c r="X130" i="26" s="1"/>
  <c r="AB130" i="26" s="1" a="1"/>
  <c r="AB130" i="26" s="1"/>
  <c r="Q130" i="26"/>
  <c r="K130" i="26"/>
  <c r="X158" i="26" a="1"/>
  <c r="X158" i="26" s="1"/>
  <c r="AB158" i="26" s="1" a="1"/>
  <c r="AB158" i="26" s="1"/>
  <c r="Q158" i="26"/>
  <c r="X150" i="26" a="1"/>
  <c r="X150" i="26" s="1"/>
  <c r="AB150" i="26" s="1" a="1"/>
  <c r="AB150" i="26" s="1"/>
  <c r="Q150" i="26"/>
  <c r="M150" i="26"/>
  <c r="X142" i="26" a="1"/>
  <c r="X142" i="26" s="1"/>
  <c r="AB142" i="26" s="1" a="1"/>
  <c r="AB142" i="26" s="1"/>
  <c r="Q142" i="26"/>
  <c r="M142" i="26"/>
  <c r="X134" i="26" a="1"/>
  <c r="X134" i="26" s="1"/>
  <c r="AB134" i="26" s="1" a="1"/>
  <c r="AB134" i="26" s="1"/>
  <c r="AK134" i="26"/>
  <c r="M134" i="26"/>
  <c r="Q134" i="26"/>
  <c r="X126" i="26" a="1"/>
  <c r="X126" i="26" s="1"/>
  <c r="AB126" i="26" s="1" a="1"/>
  <c r="AB126" i="26" s="1"/>
  <c r="K126" i="26"/>
  <c r="Q126" i="26"/>
  <c r="X118" i="26" a="1"/>
  <c r="X118" i="26" s="1"/>
  <c r="AB118" i="26" s="1" a="1"/>
  <c r="AB118" i="26" s="1"/>
  <c r="K118" i="26"/>
  <c r="Q118" i="26"/>
  <c r="X110" i="26" a="1"/>
  <c r="X110" i="26" s="1"/>
  <c r="AB110" i="26" s="1" a="1"/>
  <c r="AB110" i="26" s="1"/>
  <c r="Q110" i="26"/>
  <c r="K110" i="26"/>
  <c r="M110" i="26"/>
  <c r="X102" i="26" a="1"/>
  <c r="X102" i="26" s="1"/>
  <c r="AB102" i="26" s="1" a="1"/>
  <c r="AB102" i="26" s="1"/>
  <c r="Q102" i="26"/>
  <c r="K102" i="26"/>
  <c r="AK94" i="26"/>
  <c r="X94" i="26" a="1"/>
  <c r="X94" i="26" s="1"/>
  <c r="AB94" i="26" s="1" a="1"/>
  <c r="AB94" i="26" s="1"/>
  <c r="K94" i="26"/>
  <c r="M94" i="26"/>
  <c r="X86" i="26" a="1"/>
  <c r="X86" i="26" s="1"/>
  <c r="AB86" i="26" s="1" a="1"/>
  <c r="AB86" i="26" s="1"/>
  <c r="K86" i="26"/>
  <c r="M86" i="26"/>
  <c r="Q86" i="26"/>
  <c r="X78" i="26" a="1"/>
  <c r="X78" i="26" s="1"/>
  <c r="AB78" i="26" s="1" a="1"/>
  <c r="AB78" i="26" s="1"/>
  <c r="Q78" i="26"/>
  <c r="K78" i="26"/>
  <c r="X70" i="26" a="1"/>
  <c r="X70" i="26" s="1"/>
  <c r="AB70" i="26" s="1" a="1"/>
  <c r="AB70" i="26" s="1"/>
  <c r="Q70" i="26"/>
  <c r="M70" i="26"/>
  <c r="K70" i="26"/>
  <c r="X62" i="26" a="1"/>
  <c r="X62" i="26" s="1"/>
  <c r="AB62" i="26" s="1" a="1"/>
  <c r="AB62" i="26" s="1"/>
  <c r="K62" i="26"/>
  <c r="M62" i="26"/>
  <c r="Q62" i="26"/>
  <c r="X54" i="26" a="1"/>
  <c r="X54" i="26" s="1"/>
  <c r="AB54" i="26" s="1" a="1"/>
  <c r="AB54" i="26" s="1"/>
  <c r="K54" i="26"/>
  <c r="Q54" i="26"/>
  <c r="X46" i="26" a="1"/>
  <c r="X46" i="26" s="1"/>
  <c r="AB46" i="26" s="1" a="1"/>
  <c r="AB46" i="26" s="1"/>
  <c r="Q46" i="26"/>
  <c r="K46" i="26"/>
  <c r="X38" i="26" a="1"/>
  <c r="X38" i="26" s="1"/>
  <c r="AB38" i="26" s="1" a="1"/>
  <c r="AB38" i="26" s="1"/>
  <c r="Q38" i="26"/>
  <c r="K38" i="26"/>
  <c r="M38" i="26"/>
  <c r="X30" i="26" a="1"/>
  <c r="X30" i="26" s="1"/>
  <c r="AB30" i="26" s="1" a="1"/>
  <c r="AB30" i="26" s="1"/>
  <c r="K30" i="26"/>
  <c r="M30" i="26"/>
  <c r="Q30" i="26"/>
  <c r="X22" i="26" a="1"/>
  <c r="X22" i="26" s="1"/>
  <c r="AB22" i="26" s="1" a="1"/>
  <c r="AB22" i="26" s="1"/>
  <c r="K22" i="26"/>
  <c r="Q22" i="26"/>
  <c r="K155" i="26"/>
  <c r="K104" i="26"/>
  <c r="K31" i="26"/>
  <c r="M146" i="26"/>
  <c r="M127" i="26"/>
  <c r="M80" i="26"/>
  <c r="M55" i="26"/>
  <c r="Q135" i="26"/>
  <c r="X139" i="26" a="1"/>
  <c r="X139" i="26" s="1"/>
  <c r="AB139" i="26" s="1" a="1"/>
  <c r="AB139" i="26" s="1"/>
  <c r="Q139" i="26"/>
  <c r="M107" i="26"/>
  <c r="X107" i="26" a="1"/>
  <c r="X107" i="26" s="1"/>
  <c r="AB107" i="26" s="1" a="1"/>
  <c r="AB107" i="26" s="1"/>
  <c r="Q107" i="26"/>
  <c r="X83" i="26" a="1"/>
  <c r="X83" i="26" s="1"/>
  <c r="AB83" i="26" s="1" a="1"/>
  <c r="AB83" i="26" s="1"/>
  <c r="Q83" i="26"/>
  <c r="K83" i="26"/>
  <c r="X67" i="26" a="1"/>
  <c r="X67" i="26" s="1"/>
  <c r="AB67" i="26" s="1" a="1"/>
  <c r="AB67" i="26" s="1"/>
  <c r="Q67" i="26"/>
  <c r="M67" i="26"/>
  <c r="X43" i="26" a="1"/>
  <c r="X43" i="26" s="1"/>
  <c r="AB43" i="26" s="1" a="1"/>
  <c r="AB43" i="26" s="1"/>
  <c r="M43" i="26"/>
  <c r="AK43" i="26"/>
  <c r="Q43" i="26"/>
  <c r="X19" i="26" a="1"/>
  <c r="X19" i="26" s="1"/>
  <c r="AB19" i="26" s="1" a="1"/>
  <c r="AB19" i="26" s="1"/>
  <c r="Q19" i="26"/>
  <c r="K19" i="26"/>
  <c r="AK83" i="26"/>
  <c r="AK51" i="26"/>
  <c r="Q157" i="26"/>
  <c r="X157" i="26" a="1"/>
  <c r="X157" i="26" s="1"/>
  <c r="AB157" i="26" s="1" a="1"/>
  <c r="AB157" i="26" s="1"/>
  <c r="Q149" i="26"/>
  <c r="X149" i="26" a="1"/>
  <c r="X149" i="26" s="1"/>
  <c r="AB149" i="26" s="1" a="1"/>
  <c r="AB149" i="26" s="1"/>
  <c r="Q141" i="26"/>
  <c r="X141" i="26" a="1"/>
  <c r="X141" i="26" s="1"/>
  <c r="AB141" i="26" s="1" a="1"/>
  <c r="AB141" i="26" s="1"/>
  <c r="M141" i="26"/>
  <c r="X133" i="26" a="1"/>
  <c r="X133" i="26" s="1"/>
  <c r="AB133" i="26" s="1" a="1"/>
  <c r="AB133" i="26" s="1"/>
  <c r="Q133" i="26"/>
  <c r="M133" i="26"/>
  <c r="X125" i="26" a="1"/>
  <c r="X125" i="26" s="1"/>
  <c r="AB125" i="26" s="1" a="1"/>
  <c r="AB125" i="26" s="1"/>
  <c r="Q125" i="26"/>
  <c r="M125" i="26"/>
  <c r="X117" i="26" a="1"/>
  <c r="X117" i="26" s="1"/>
  <c r="AB117" i="26" s="1" a="1"/>
  <c r="AB117" i="26" s="1"/>
  <c r="Q117" i="26"/>
  <c r="K117" i="26"/>
  <c r="X109" i="26" a="1"/>
  <c r="X109" i="26" s="1"/>
  <c r="AB109" i="26" s="1" a="1"/>
  <c r="AB109" i="26" s="1"/>
  <c r="Q109" i="26"/>
  <c r="K109" i="26"/>
  <c r="M109" i="26"/>
  <c r="X101" i="26" a="1"/>
  <c r="X101" i="26" s="1"/>
  <c r="AB101" i="26" s="1" a="1"/>
  <c r="AB101" i="26" s="1"/>
  <c r="Q101" i="26"/>
  <c r="AK101" i="26"/>
  <c r="K101" i="26"/>
  <c r="M101" i="26"/>
  <c r="X93" i="26" a="1"/>
  <c r="X93" i="26" s="1"/>
  <c r="AB93" i="26" s="1" a="1"/>
  <c r="AB93" i="26" s="1"/>
  <c r="Q93" i="26"/>
  <c r="K93" i="26"/>
  <c r="Q85" i="26"/>
  <c r="X85" i="26" a="1"/>
  <c r="X85" i="26" s="1"/>
  <c r="AB85" i="26" s="1" a="1"/>
  <c r="AB85" i="26" s="1"/>
  <c r="M85" i="26"/>
  <c r="Q77" i="26"/>
  <c r="X77" i="26" a="1"/>
  <c r="X77" i="26" s="1"/>
  <c r="AB77" i="26" s="1" a="1"/>
  <c r="AB77" i="26" s="1"/>
  <c r="M77" i="26"/>
  <c r="Q69" i="26"/>
  <c r="X69" i="26" a="1"/>
  <c r="X69" i="26" s="1"/>
  <c r="AB69" i="26" s="1" a="1"/>
  <c r="AB69" i="26" s="1"/>
  <c r="X61" i="26" a="1"/>
  <c r="X61" i="26" s="1"/>
  <c r="AB61" i="26" s="1" a="1"/>
  <c r="AB61" i="26" s="1"/>
  <c r="Q61" i="26"/>
  <c r="M61" i="26"/>
  <c r="Q53" i="26"/>
  <c r="X53" i="26" a="1"/>
  <c r="X53" i="26" s="1"/>
  <c r="AB53" i="26" s="1" a="1"/>
  <c r="AB53" i="26" s="1"/>
  <c r="M53" i="26"/>
  <c r="K53" i="26"/>
  <c r="Q45" i="26"/>
  <c r="X45" i="26" a="1"/>
  <c r="X45" i="26" s="1"/>
  <c r="AB45" i="26" s="1" a="1"/>
  <c r="AB45" i="26" s="1"/>
  <c r="K45" i="26"/>
  <c r="X37" i="26" a="1"/>
  <c r="X37" i="26" s="1"/>
  <c r="AB37" i="26" s="1" a="1"/>
  <c r="AB37" i="26" s="1"/>
  <c r="Q37" i="26"/>
  <c r="M37" i="26"/>
  <c r="K37" i="26"/>
  <c r="Q29" i="26"/>
  <c r="X29" i="26" a="1"/>
  <c r="X29" i="26" s="1"/>
  <c r="AB29" i="26" s="1" a="1"/>
  <c r="AB29" i="26" s="1"/>
  <c r="K29" i="26"/>
  <c r="Q21" i="26"/>
  <c r="X21" i="26" a="1"/>
  <c r="X21" i="26" s="1"/>
  <c r="AB21" i="26" s="1" a="1"/>
  <c r="AB21" i="26" s="1"/>
  <c r="M21" i="26"/>
  <c r="K150" i="26"/>
  <c r="K134" i="26"/>
  <c r="K116" i="26"/>
  <c r="K61" i="26"/>
  <c r="K43" i="26"/>
  <c r="M126" i="26"/>
  <c r="M102" i="26"/>
  <c r="M78" i="26"/>
  <c r="M54" i="26"/>
  <c r="M29" i="26"/>
  <c r="AL144" i="26"/>
  <c r="S144" i="26"/>
  <c r="S140" i="26"/>
  <c r="AL140" i="26"/>
  <c r="AL100" i="26"/>
  <c r="S100" i="26"/>
  <c r="AL72" i="26"/>
  <c r="S72" i="26"/>
  <c r="S40" i="26"/>
  <c r="AL40" i="26"/>
  <c r="X39" i="26" a="1"/>
  <c r="X39" i="26" s="1"/>
  <c r="AB39" i="26" s="1" a="1"/>
  <c r="AB39" i="26" s="1"/>
  <c r="Q39" i="26"/>
  <c r="M39" i="26"/>
  <c r="X31" i="26" a="1"/>
  <c r="X31" i="26" s="1"/>
  <c r="AB31" i="26" s="1" a="1"/>
  <c r="AB31" i="26" s="1"/>
  <c r="X23" i="26" a="1"/>
  <c r="X23" i="26" s="1"/>
  <c r="AB23" i="26" s="1" a="1"/>
  <c r="AB23" i="26" s="1"/>
  <c r="Q23" i="26"/>
  <c r="Q15" i="26"/>
  <c r="M15" i="26"/>
  <c r="K72" i="26"/>
  <c r="M120" i="26"/>
  <c r="M23" i="26"/>
  <c r="Q64" i="26"/>
  <c r="X122" i="26" a="1"/>
  <c r="X122" i="26" s="1"/>
  <c r="AB122" i="26" s="1" a="1"/>
  <c r="AB122" i="26" s="1"/>
  <c r="Q122" i="26"/>
  <c r="X114" i="26" a="1"/>
  <c r="X114" i="26" s="1"/>
  <c r="AB114" i="26" s="1" a="1"/>
  <c r="AB114" i="26" s="1"/>
  <c r="X106" i="26" a="1"/>
  <c r="X106" i="26" s="1"/>
  <c r="AB106" i="26" s="1" a="1"/>
  <c r="AB106" i="26" s="1"/>
  <c r="X98" i="26" a="1"/>
  <c r="X98" i="26" s="1"/>
  <c r="AB98" i="26" s="1" a="1"/>
  <c r="AB98" i="26" s="1"/>
  <c r="Q98" i="26"/>
  <c r="M98" i="26"/>
  <c r="X90" i="26" a="1"/>
  <c r="X90" i="26" s="1"/>
  <c r="AB90" i="26" s="1" a="1"/>
  <c r="AB90" i="26" s="1"/>
  <c r="Q90" i="26"/>
  <c r="X82" i="26" a="1"/>
  <c r="X82" i="26" s="1"/>
  <c r="AB82" i="26" s="1" a="1"/>
  <c r="AB82" i="26" s="1"/>
  <c r="AK74" i="26"/>
  <c r="Q74" i="26"/>
  <c r="X74" i="26" a="1"/>
  <c r="X74" i="26" s="1"/>
  <c r="AB74" i="26" s="1" a="1"/>
  <c r="AB74" i="26" s="1"/>
  <c r="X66" i="26" a="1"/>
  <c r="X66" i="26" s="1"/>
  <c r="AB66" i="26" s="1" a="1"/>
  <c r="AB66" i="26" s="1"/>
  <c r="Q66" i="26"/>
  <c r="X58" i="26" a="1"/>
  <c r="X58" i="26" s="1"/>
  <c r="AB58" i="26" s="1" a="1"/>
  <c r="AB58" i="26" s="1"/>
  <c r="Q58" i="26"/>
  <c r="M58" i="26"/>
  <c r="X50" i="26" a="1"/>
  <c r="X50" i="26" s="1"/>
  <c r="AB50" i="26" s="1" a="1"/>
  <c r="AB50" i="26" s="1"/>
  <c r="X42" i="26" a="1"/>
  <c r="X42" i="26" s="1"/>
  <c r="AB42" i="26" s="1" a="1"/>
  <c r="AB42" i="26" s="1"/>
  <c r="X34" i="26" a="1"/>
  <c r="X34" i="26" s="1"/>
  <c r="AB34" i="26" s="1" a="1"/>
  <c r="AB34" i="26" s="1"/>
  <c r="M34" i="26"/>
  <c r="Q34" i="26"/>
  <c r="X26" i="26" a="1"/>
  <c r="X26" i="26" s="1"/>
  <c r="AB26" i="26" s="1" a="1"/>
  <c r="AB26" i="26" s="1"/>
  <c r="Q26" i="26"/>
  <c r="X18" i="26" a="1"/>
  <c r="X18" i="26" s="1"/>
  <c r="AB18" i="26" s="1" a="1"/>
  <c r="AB18" i="26" s="1"/>
  <c r="J9" i="26"/>
  <c r="K66" i="26"/>
  <c r="K39" i="26"/>
  <c r="M144" i="26"/>
  <c r="M114" i="26"/>
  <c r="M90" i="26"/>
  <c r="M40" i="26"/>
  <c r="S150" i="26"/>
  <c r="S54" i="26"/>
  <c r="S30" i="26"/>
  <c r="Q82" i="26"/>
  <c r="X120" i="26" a="1"/>
  <c r="X120" i="26" s="1"/>
  <c r="AB120" i="26" s="1" a="1"/>
  <c r="AB120" i="26" s="1"/>
  <c r="AK153" i="26"/>
  <c r="X153" i="26" a="1"/>
  <c r="X153" i="26" s="1"/>
  <c r="AB153" i="26" s="1" a="1"/>
  <c r="AB153" i="26" s="1"/>
  <c r="Q153" i="26"/>
  <c r="X145" i="26" a="1"/>
  <c r="X145" i="26" s="1"/>
  <c r="AB145" i="26" s="1" a="1"/>
  <c r="AB145" i="26" s="1"/>
  <c r="X137" i="26" a="1"/>
  <c r="X137" i="26" s="1"/>
  <c r="AB137" i="26" s="1" a="1"/>
  <c r="AB137" i="26" s="1"/>
  <c r="X129" i="26" a="1"/>
  <c r="X129" i="26" s="1"/>
  <c r="AB129" i="26" s="1" a="1"/>
  <c r="AB129" i="26" s="1"/>
  <c r="Q129" i="26"/>
  <c r="M129" i="26"/>
  <c r="X121" i="26" a="1"/>
  <c r="X121" i="26" s="1"/>
  <c r="AB121" i="26" s="1" a="1"/>
  <c r="AB121" i="26" s="1"/>
  <c r="Q121" i="26"/>
  <c r="M121" i="26"/>
  <c r="X113" i="26" a="1"/>
  <c r="X113" i="26" s="1"/>
  <c r="AB113" i="26" s="1" a="1"/>
  <c r="AB113" i="26" s="1"/>
  <c r="M113" i="26"/>
  <c r="X105" i="26" a="1"/>
  <c r="X105" i="26" s="1"/>
  <c r="AB105" i="26" s="1" a="1"/>
  <c r="AB105" i="26" s="1"/>
  <c r="M105" i="26"/>
  <c r="M97" i="26"/>
  <c r="X97" i="26" a="1"/>
  <c r="X97" i="26" s="1"/>
  <c r="AB97" i="26" s="1" a="1"/>
  <c r="AB97" i="26" s="1"/>
  <c r="Q97" i="26"/>
  <c r="X89" i="26" a="1"/>
  <c r="X89" i="26" s="1"/>
  <c r="AB89" i="26" s="1" a="1"/>
  <c r="AB89" i="26" s="1"/>
  <c r="M89" i="26"/>
  <c r="Q89" i="26"/>
  <c r="X81" i="26" a="1"/>
  <c r="X81" i="26" s="1"/>
  <c r="AB81" i="26" s="1" a="1"/>
  <c r="AB81" i="26" s="1"/>
  <c r="M81" i="26"/>
  <c r="X73" i="26" a="1"/>
  <c r="X73" i="26" s="1"/>
  <c r="AB73" i="26" s="1" a="1"/>
  <c r="AB73" i="26" s="1"/>
  <c r="M73" i="26"/>
  <c r="X65" i="26" a="1"/>
  <c r="X65" i="26" s="1"/>
  <c r="AB65" i="26" s="1" a="1"/>
  <c r="AB65" i="26" s="1"/>
  <c r="Q65" i="26"/>
  <c r="M65" i="26"/>
  <c r="X57" i="26" a="1"/>
  <c r="X57" i="26" s="1"/>
  <c r="AB57" i="26" s="1" a="1"/>
  <c r="AB57" i="26" s="1"/>
  <c r="M57" i="26"/>
  <c r="Q57" i="26"/>
  <c r="X49" i="26" a="1"/>
  <c r="X49" i="26" s="1"/>
  <c r="AB49" i="26" s="1" a="1"/>
  <c r="AB49" i="26" s="1"/>
  <c r="M49" i="26"/>
  <c r="Q49" i="26"/>
  <c r="X41" i="26" a="1"/>
  <c r="X41" i="26" s="1"/>
  <c r="AB41" i="26" s="1" a="1"/>
  <c r="AB41" i="26" s="1"/>
  <c r="M41" i="26"/>
  <c r="X33" i="26" a="1"/>
  <c r="X33" i="26" s="1"/>
  <c r="AB33" i="26" s="1" a="1"/>
  <c r="AB33" i="26" s="1"/>
  <c r="M33" i="26"/>
  <c r="X25" i="26" a="1"/>
  <c r="X25" i="26" s="1"/>
  <c r="AB25" i="26" s="1" a="1"/>
  <c r="AB25" i="26" s="1"/>
  <c r="M25" i="26"/>
  <c r="Q25" i="26"/>
  <c r="K153" i="26"/>
  <c r="K145" i="26"/>
  <c r="K137" i="26"/>
  <c r="K129" i="26"/>
  <c r="K74" i="26"/>
  <c r="K65" i="26"/>
  <c r="L9" i="26"/>
  <c r="S14" i="26"/>
  <c r="Q81" i="26"/>
  <c r="S141" i="26"/>
  <c r="AK121" i="26"/>
  <c r="X160" i="26" a="1"/>
  <c r="X160" i="26" s="1"/>
  <c r="AB160" i="26" s="1" a="1"/>
  <c r="AB160" i="26" s="1"/>
  <c r="Q160" i="26"/>
  <c r="X152" i="26" a="1"/>
  <c r="X152" i="26" s="1"/>
  <c r="AB152" i="26" s="1" a="1"/>
  <c r="AB152" i="26" s="1"/>
  <c r="Q152" i="26"/>
  <c r="X144" i="26" a="1"/>
  <c r="X144" i="26" s="1"/>
  <c r="AB144" i="26" s="1" a="1"/>
  <c r="AB144" i="26" s="1"/>
  <c r="X136" i="26" a="1"/>
  <c r="X136" i="26" s="1"/>
  <c r="AB136" i="26" s="1" a="1"/>
  <c r="AB136" i="26" s="1"/>
  <c r="X128" i="26" a="1"/>
  <c r="X128" i="26" s="1"/>
  <c r="AB128" i="26" s="1" a="1"/>
  <c r="AB128" i="26" s="1"/>
  <c r="Q128" i="26"/>
  <c r="Q120" i="26"/>
  <c r="X112" i="26" a="1"/>
  <c r="X112" i="26" s="1"/>
  <c r="AB112" i="26" s="1" a="1"/>
  <c r="AB112" i="26" s="1"/>
  <c r="Q112" i="26"/>
  <c r="M112" i="26"/>
  <c r="X104" i="26" a="1"/>
  <c r="X104" i="26" s="1"/>
  <c r="AB104" i="26" s="1" a="1"/>
  <c r="AB104" i="26" s="1"/>
  <c r="X96" i="26" a="1"/>
  <c r="X96" i="26" s="1"/>
  <c r="AB96" i="26" s="1" a="1"/>
  <c r="AB96" i="26" s="1"/>
  <c r="X88" i="26" a="1"/>
  <c r="X88" i="26" s="1"/>
  <c r="AB88" i="26" s="1" a="1"/>
  <c r="AB88" i="26" s="1"/>
  <c r="Q88" i="26"/>
  <c r="M88" i="26"/>
  <c r="X80" i="26" a="1"/>
  <c r="X80" i="26" s="1"/>
  <c r="AB80" i="26" s="1" a="1"/>
  <c r="AB80" i="26" s="1"/>
  <c r="Q80" i="26"/>
  <c r="X72" i="26" a="1"/>
  <c r="X72" i="26" s="1"/>
  <c r="AB72" i="26" s="1" a="1"/>
  <c r="AB72" i="26" s="1"/>
  <c r="X64" i="26" a="1"/>
  <c r="X64" i="26" s="1"/>
  <c r="AB64" i="26" s="1" a="1"/>
  <c r="AB64" i="26" s="1"/>
  <c r="X56" i="26" a="1"/>
  <c r="X56" i="26" s="1"/>
  <c r="AB56" i="26" s="1" a="1"/>
  <c r="AB56" i="26" s="1"/>
  <c r="Q56" i="26"/>
  <c r="X48" i="26" a="1"/>
  <c r="X48" i="26" s="1"/>
  <c r="AB48" i="26" s="1" a="1"/>
  <c r="AB48" i="26" s="1"/>
  <c r="Q48" i="26"/>
  <c r="M48" i="26"/>
  <c r="X40" i="26" a="1"/>
  <c r="X40" i="26" s="1"/>
  <c r="AB40" i="26" s="1" a="1"/>
  <c r="AB40" i="26" s="1"/>
  <c r="X32" i="26" a="1"/>
  <c r="X32" i="26" s="1"/>
  <c r="AB32" i="26" s="1" a="1"/>
  <c r="AB32" i="26" s="1"/>
  <c r="X24" i="26" a="1"/>
  <c r="X24" i="26" s="1"/>
  <c r="AB24" i="26" s="1" a="1"/>
  <c r="AB24" i="26" s="1"/>
  <c r="Q24" i="26"/>
  <c r="M24" i="26"/>
  <c r="K160" i="26"/>
  <c r="K152" i="26"/>
  <c r="K144" i="26"/>
  <c r="K136" i="26"/>
  <c r="K128" i="26"/>
  <c r="K82" i="26"/>
  <c r="K73" i="26"/>
  <c r="K64" i="26"/>
  <c r="K18" i="26"/>
  <c r="M160" i="26"/>
  <c r="M122" i="26"/>
  <c r="M74" i="26"/>
  <c r="M50" i="26"/>
  <c r="M26" i="26"/>
  <c r="S157" i="26"/>
  <c r="S153" i="26"/>
  <c r="S145" i="26"/>
  <c r="S137" i="26"/>
  <c r="S133" i="26"/>
  <c r="AL129" i="26"/>
  <c r="S129" i="26"/>
  <c r="S121" i="26"/>
  <c r="S117" i="26"/>
  <c r="S113" i="26"/>
  <c r="S109" i="26"/>
  <c r="S105" i="26"/>
  <c r="S101" i="26"/>
  <c r="S97" i="26"/>
  <c r="S89" i="26"/>
  <c r="S85" i="26"/>
  <c r="S69" i="26"/>
  <c r="S37" i="26"/>
  <c r="Q137" i="26"/>
  <c r="Q96" i="26"/>
  <c r="Q33" i="26"/>
  <c r="S154" i="26"/>
  <c r="S146" i="26"/>
  <c r="S142" i="26"/>
  <c r="S138" i="26"/>
  <c r="S134" i="26"/>
  <c r="S130" i="26"/>
  <c r="S122" i="26"/>
  <c r="S114" i="26"/>
  <c r="S106" i="26"/>
  <c r="S98" i="26"/>
  <c r="S90" i="26"/>
  <c r="S82" i="26"/>
  <c r="AL78" i="26"/>
  <c r="S78" i="26"/>
  <c r="S74" i="26"/>
  <c r="S70" i="26"/>
  <c r="S66" i="26"/>
  <c r="S58" i="26"/>
  <c r="S50" i="26"/>
  <c r="S42" i="26"/>
  <c r="S34" i="26"/>
  <c r="S26" i="26"/>
  <c r="S18" i="26"/>
  <c r="S21" i="26"/>
  <c r="S81" i="26"/>
  <c r="S73" i="26"/>
  <c r="S65" i="26"/>
  <c r="S57" i="26"/>
  <c r="S53" i="26"/>
  <c r="S49" i="26"/>
  <c r="S45" i="26"/>
  <c r="S41" i="26"/>
  <c r="S33" i="26"/>
  <c r="S25" i="26"/>
  <c r="S17" i="26"/>
  <c r="S155" i="26"/>
  <c r="S139" i="26"/>
  <c r="S131" i="26"/>
  <c r="S123" i="26"/>
  <c r="S115" i="26"/>
  <c r="S107" i="26"/>
  <c r="S99" i="26"/>
  <c r="S91" i="26"/>
  <c r="S83" i="26"/>
  <c r="S75" i="26"/>
  <c r="S67" i="26"/>
  <c r="S59" i="26"/>
  <c r="S51" i="26"/>
  <c r="S43" i="26"/>
  <c r="S35" i="26"/>
  <c r="S27" i="26"/>
  <c r="S19" i="26"/>
  <c r="S147" i="26"/>
  <c r="H8" i="24"/>
  <c r="H9" i="24"/>
  <c r="H11" i="24"/>
  <c r="H12" i="24"/>
  <c r="H13" i="24"/>
  <c r="H14" i="24"/>
  <c r="AL101" i="26"/>
  <c r="AL85" i="26"/>
  <c r="AL109" i="26"/>
  <c r="AL77" i="26"/>
  <c r="AL134" i="26"/>
  <c r="AL158" i="26"/>
  <c r="AL45" i="26"/>
  <c r="AL37" i="26"/>
  <c r="AL93" i="26"/>
  <c r="AL61" i="26"/>
  <c r="AL150" i="26"/>
  <c r="AL53" i="26"/>
  <c r="AK61" i="26"/>
  <c r="AK108" i="26"/>
  <c r="AK140" i="26"/>
  <c r="AK29" i="26"/>
  <c r="AK44" i="26"/>
  <c r="AK92" i="26"/>
  <c r="AK28" i="26"/>
  <c r="AK45" i="26"/>
  <c r="H9" i="26"/>
  <c r="AK89" i="26"/>
  <c r="I9" i="26"/>
  <c r="P9" i="26"/>
  <c r="O9" i="26"/>
  <c r="AK114" i="26"/>
  <c r="AL64" i="26"/>
  <c r="AK91" i="26"/>
  <c r="AK106" i="26"/>
  <c r="AK120" i="26"/>
  <c r="AL71" i="26"/>
  <c r="AL36" i="26"/>
  <c r="AK55" i="26"/>
  <c r="AK63" i="26"/>
  <c r="AL95" i="26"/>
  <c r="AK46" i="26"/>
  <c r="AL154" i="26"/>
  <c r="AL25" i="26"/>
  <c r="AK35" i="26"/>
  <c r="AL31" i="26"/>
  <c r="AK58" i="26"/>
  <c r="AL59" i="26"/>
  <c r="AK18" i="26"/>
  <c r="AK88" i="26"/>
  <c r="AK109" i="26"/>
  <c r="AK17" i="26"/>
  <c r="AL29" i="26"/>
  <c r="AK30" i="26"/>
  <c r="AK40" i="26"/>
  <c r="AL22" i="26"/>
  <c r="AK27" i="26"/>
  <c r="AK100" i="26"/>
  <c r="AL16" i="26"/>
  <c r="N9" i="26"/>
  <c r="F9" i="26"/>
  <c r="AK14" i="26"/>
  <c r="AK32" i="26"/>
  <c r="AK42" i="26"/>
  <c r="AL138" i="26"/>
  <c r="AK49" i="26"/>
  <c r="AK50" i="26"/>
  <c r="AL57" i="26"/>
  <c r="AL92" i="26"/>
  <c r="AL74" i="26"/>
  <c r="AK79" i="26"/>
  <c r="AL102" i="26"/>
  <c r="AK20" i="26"/>
  <c r="AK34" i="26"/>
  <c r="AK60" i="26"/>
  <c r="AL69" i="26"/>
  <c r="AK107" i="26"/>
  <c r="AK115" i="26"/>
  <c r="AK122" i="26"/>
  <c r="AL152" i="26"/>
  <c r="AK26" i="26"/>
  <c r="AK78" i="26"/>
  <c r="AK59" i="26"/>
  <c r="AL62" i="26"/>
  <c r="AK68" i="26"/>
  <c r="AK90" i="26"/>
  <c r="AL49" i="26"/>
  <c r="AL54" i="26"/>
  <c r="AK73" i="26"/>
  <c r="AK76" i="26"/>
  <c r="AK87" i="26"/>
  <c r="AK130" i="26"/>
  <c r="AL136" i="26"/>
  <c r="AK146" i="26"/>
  <c r="AK62" i="26"/>
  <c r="AK67" i="26"/>
  <c r="AK71" i="26"/>
  <c r="AL89" i="26"/>
  <c r="AL125" i="26"/>
  <c r="AK128" i="26"/>
  <c r="AK77" i="26"/>
  <c r="AK84" i="26"/>
  <c r="AK119" i="26"/>
  <c r="AK103" i="26"/>
  <c r="AL105" i="26"/>
  <c r="AL117" i="26"/>
  <c r="AL98" i="26"/>
  <c r="AK133" i="26"/>
  <c r="AK54" i="26"/>
  <c r="AK104" i="26"/>
  <c r="AK123" i="26"/>
  <c r="AL146" i="26"/>
  <c r="AL128" i="26"/>
  <c r="AL122" i="26"/>
  <c r="AK93" i="26"/>
  <c r="AK117" i="26"/>
  <c r="AK80" i="26"/>
  <c r="AK96" i="26"/>
  <c r="AK138" i="26"/>
  <c r="AL130" i="26"/>
  <c r="AK144" i="26"/>
  <c r="AK160" i="26"/>
  <c r="AK125" i="26"/>
  <c r="AK154" i="26"/>
  <c r="AK110" i="26"/>
  <c r="AL114" i="26"/>
  <c r="AL120" i="26"/>
  <c r="AL159" i="26"/>
  <c r="AK149" i="26"/>
  <c r="AL133" i="26"/>
  <c r="AK136" i="26"/>
  <c r="AL149" i="26"/>
  <c r="AK152" i="26"/>
  <c r="AK139" i="26"/>
  <c r="AK155" i="26"/>
  <c r="AK126" i="26"/>
  <c r="AK142" i="26"/>
  <c r="AK158" i="26"/>
  <c r="AK132" i="26"/>
  <c r="AK148" i="26"/>
  <c r="AK141" i="26"/>
  <c r="AK157" i="26"/>
  <c r="M17" i="6"/>
  <c r="M19" i="6"/>
  <c r="M35" i="6"/>
  <c r="M50" i="6"/>
  <c r="M51" i="6"/>
  <c r="M65" i="6"/>
  <c r="M67" i="6"/>
  <c r="M82" i="6"/>
  <c r="M83" i="6"/>
  <c r="M97" i="6"/>
  <c r="M99" i="6"/>
  <c r="M109" i="6"/>
  <c r="M125" i="6"/>
  <c r="M129" i="6"/>
  <c r="M131" i="6"/>
  <c r="M141" i="6"/>
  <c r="M147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M16" i="6"/>
  <c r="M18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6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8" i="6"/>
  <c r="M100" i="6"/>
  <c r="M101" i="6"/>
  <c r="M102" i="6"/>
  <c r="M103" i="6"/>
  <c r="M104" i="6"/>
  <c r="M105" i="6"/>
  <c r="M106" i="6"/>
  <c r="M107" i="6"/>
  <c r="M108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6" i="6"/>
  <c r="M127" i="6"/>
  <c r="M128" i="6"/>
  <c r="M130" i="6"/>
  <c r="M132" i="6"/>
  <c r="M133" i="6"/>
  <c r="M134" i="6"/>
  <c r="M135" i="6"/>
  <c r="M136" i="6"/>
  <c r="M137" i="6"/>
  <c r="M138" i="6"/>
  <c r="M139" i="6"/>
  <c r="M140" i="6"/>
  <c r="M142" i="6"/>
  <c r="M143" i="6"/>
  <c r="M144" i="6"/>
  <c r="M145" i="6"/>
  <c r="M146" i="6"/>
  <c r="M148" i="6"/>
  <c r="M149" i="6"/>
  <c r="M150" i="6"/>
  <c r="M151" i="6"/>
  <c r="M152" i="6"/>
  <c r="M153" i="6"/>
  <c r="M154" i="6"/>
  <c r="M155" i="6"/>
  <c r="M156" i="6"/>
  <c r="CQ7" i="23" a="1"/>
  <c r="CQ7" i="23" s="1"/>
  <c r="CP7" i="23" a="1"/>
  <c r="CP7" i="23" s="1"/>
  <c r="CP61" i="23" s="1"/>
  <c r="AU7" i="23" a="1"/>
  <c r="AU7" i="23" s="1"/>
  <c r="AV7" i="23" a="1"/>
  <c r="AV7" i="23" s="1"/>
  <c r="AW7" i="23" a="1"/>
  <c r="AW7" i="23" s="1"/>
  <c r="AX7" i="23" a="1"/>
  <c r="AX7" i="23" s="1"/>
  <c r="AY7" i="23" a="1"/>
  <c r="AY7" i="23" s="1"/>
  <c r="AZ7" i="23" a="1"/>
  <c r="AZ7" i="23" s="1"/>
  <c r="BA7" i="23" a="1"/>
  <c r="BA7" i="23" s="1"/>
  <c r="BB7" i="23" a="1"/>
  <c r="BB7" i="23" s="1"/>
  <c r="BC7" i="23" a="1"/>
  <c r="BC7" i="23" s="1"/>
  <c r="BD7" i="23" a="1"/>
  <c r="BD7" i="23" s="1"/>
  <c r="BE7" i="23" a="1"/>
  <c r="BE7" i="23" s="1"/>
  <c r="BF7" i="23" a="1"/>
  <c r="BF7" i="23" s="1"/>
  <c r="BG7" i="23" a="1"/>
  <c r="BG7" i="23" s="1"/>
  <c r="BH7" i="23" a="1"/>
  <c r="BH7" i="23" s="1"/>
  <c r="BI7" i="23" a="1"/>
  <c r="BI7" i="23" s="1"/>
  <c r="BJ7" i="23" a="1"/>
  <c r="BJ7" i="23" s="1"/>
  <c r="BK7" i="23" a="1"/>
  <c r="BK7" i="23" s="1"/>
  <c r="BL7" i="23" a="1"/>
  <c r="BL7" i="23" s="1"/>
  <c r="BM7" i="23" a="1"/>
  <c r="BM7" i="23" s="1"/>
  <c r="BN7" i="23" a="1"/>
  <c r="BN7" i="23" s="1"/>
  <c r="BO7" i="23" a="1"/>
  <c r="BO7" i="23" s="1"/>
  <c r="BP7" i="23" a="1"/>
  <c r="BP7" i="23" s="1"/>
  <c r="BQ7" i="23" a="1"/>
  <c r="BQ7" i="23" s="1"/>
  <c r="BR7" i="23" a="1"/>
  <c r="BR7" i="23" s="1"/>
  <c r="BS7" i="23" a="1"/>
  <c r="BS7" i="23" s="1"/>
  <c r="BT7" i="23" a="1"/>
  <c r="BT7" i="23" s="1"/>
  <c r="BU7" i="23" a="1"/>
  <c r="BU7" i="23" s="1"/>
  <c r="BV7" i="23" a="1"/>
  <c r="BV7" i="23" s="1"/>
  <c r="BW7" i="23" a="1"/>
  <c r="BW7" i="23" s="1"/>
  <c r="BX7" i="23" a="1"/>
  <c r="BX7" i="23" s="1"/>
  <c r="BY7" i="23" a="1"/>
  <c r="BY7" i="23" s="1"/>
  <c r="BZ7" i="23" a="1"/>
  <c r="BZ7" i="23" s="1"/>
  <c r="CA7" i="23" a="1"/>
  <c r="CA7" i="23" s="1"/>
  <c r="CB7" i="23" a="1"/>
  <c r="CB7" i="23" s="1"/>
  <c r="CC7" i="23" a="1"/>
  <c r="CC7" i="23" s="1"/>
  <c r="CD7" i="23" a="1"/>
  <c r="CD7" i="23" s="1"/>
  <c r="CE7" i="23" a="1"/>
  <c r="CE7" i="23" s="1"/>
  <c r="CF7" i="23" a="1"/>
  <c r="CF7" i="23" s="1"/>
  <c r="CG7" i="23" a="1"/>
  <c r="CG7" i="23" s="1"/>
  <c r="CH7" i="23" a="1"/>
  <c r="CH7" i="23" s="1"/>
  <c r="CI7" i="23" a="1"/>
  <c r="CI7" i="23" s="1"/>
  <c r="CJ7" i="23" a="1"/>
  <c r="CJ7" i="23" s="1"/>
  <c r="CK7" i="23" a="1"/>
  <c r="CK7" i="23" s="1"/>
  <c r="CL7" i="23" a="1"/>
  <c r="CL7" i="23" s="1"/>
  <c r="CM7" i="23" a="1"/>
  <c r="CM7" i="23" s="1"/>
  <c r="CN7" i="23" a="1"/>
  <c r="CN7" i="23" s="1"/>
  <c r="CO7" i="23" a="1"/>
  <c r="CO7" i="23" s="1"/>
  <c r="CR7" i="23" a="1"/>
  <c r="CR7" i="23" s="1"/>
  <c r="AJ8" i="23"/>
  <c r="AK8" i="23" s="1"/>
  <c r="AL8" i="23" s="1" a="1"/>
  <c r="AL8" i="23" s="1"/>
  <c r="AJ9" i="23"/>
  <c r="AK9" i="23" s="1"/>
  <c r="AL9" i="23" s="1" a="1"/>
  <c r="AL9" i="23" s="1"/>
  <c r="AJ10" i="23"/>
  <c r="AK10" i="23" s="1"/>
  <c r="AL10" i="23" s="1" a="1"/>
  <c r="AL10" i="23" s="1"/>
  <c r="AJ11" i="23"/>
  <c r="AK11" i="23" s="1"/>
  <c r="AL11" i="23" s="1" a="1"/>
  <c r="AL11" i="23" s="1"/>
  <c r="AJ12" i="23"/>
  <c r="AK12" i="23" s="1"/>
  <c r="AL12" i="23" s="1" a="1"/>
  <c r="AL12" i="23" s="1"/>
  <c r="AJ13" i="23"/>
  <c r="AK13" i="23" s="1"/>
  <c r="AL13" i="23" s="1" a="1"/>
  <c r="AL13" i="23" s="1"/>
  <c r="AJ14" i="23"/>
  <c r="AK14" i="23" s="1"/>
  <c r="AL14" i="23" s="1" a="1"/>
  <c r="AL14" i="23" s="1"/>
  <c r="AJ15" i="23"/>
  <c r="AK15" i="23" s="1"/>
  <c r="AL15" i="23" s="1" a="1"/>
  <c r="AL15" i="23" s="1"/>
  <c r="AJ16" i="23"/>
  <c r="AK16" i="23" s="1"/>
  <c r="AL16" i="23" s="1" a="1"/>
  <c r="AL16" i="23" s="1"/>
  <c r="AJ17" i="23"/>
  <c r="AK17" i="23" s="1"/>
  <c r="AL17" i="23" s="1" a="1"/>
  <c r="AL17" i="23" s="1"/>
  <c r="AJ18" i="23"/>
  <c r="AK18" i="23" s="1"/>
  <c r="AL18" i="23" s="1" a="1"/>
  <c r="AL18" i="23" s="1"/>
  <c r="AJ19" i="23"/>
  <c r="AK19" i="23" s="1"/>
  <c r="AL19" i="23" s="1" a="1"/>
  <c r="AL19" i="23" s="1"/>
  <c r="AJ20" i="23"/>
  <c r="AK20" i="23" s="1"/>
  <c r="AL20" i="23" s="1" a="1"/>
  <c r="AL20" i="23" s="1"/>
  <c r="AJ21" i="23"/>
  <c r="AK21" i="23" s="1"/>
  <c r="AL21" i="23" s="1" a="1"/>
  <c r="AL21" i="23" s="1"/>
  <c r="AJ22" i="23"/>
  <c r="AK22" i="23" s="1"/>
  <c r="AL22" i="23" s="1" a="1"/>
  <c r="AL22" i="23" s="1"/>
  <c r="AJ23" i="23"/>
  <c r="AJ24" i="23"/>
  <c r="AK24" i="23" s="1"/>
  <c r="AL24" i="23" s="1" a="1"/>
  <c r="AL24" i="23" s="1"/>
  <c r="AJ25" i="23"/>
  <c r="AK25" i="23" s="1"/>
  <c r="AL25" i="23" s="1" a="1"/>
  <c r="AL25" i="23" s="1"/>
  <c r="AJ26" i="23"/>
  <c r="AK26" i="23" s="1"/>
  <c r="AL26" i="23" s="1" a="1"/>
  <c r="AL26" i="23" s="1"/>
  <c r="AJ27" i="23"/>
  <c r="AK27" i="23" s="1"/>
  <c r="AL27" i="23" s="1" a="1"/>
  <c r="AL27" i="23" s="1"/>
  <c r="AJ28" i="23"/>
  <c r="AK28" i="23" s="1"/>
  <c r="AL28" i="23" s="1" a="1"/>
  <c r="AL28" i="23" s="1"/>
  <c r="AJ29" i="23"/>
  <c r="AK29" i="23" s="1"/>
  <c r="AL29" i="23" s="1" a="1"/>
  <c r="AL29" i="23" s="1"/>
  <c r="AJ30" i="23"/>
  <c r="AK30" i="23" s="1"/>
  <c r="AL30" i="23" s="1" a="1"/>
  <c r="AL30" i="23" s="1"/>
  <c r="AJ31" i="23"/>
  <c r="AK31" i="23" s="1"/>
  <c r="AL31" i="23" s="1" a="1"/>
  <c r="AL31" i="23" s="1"/>
  <c r="AJ32" i="23"/>
  <c r="AK32" i="23" s="1"/>
  <c r="AL32" i="23" s="1" a="1"/>
  <c r="AL32" i="23" s="1"/>
  <c r="AJ33" i="23"/>
  <c r="AK33" i="23" s="1"/>
  <c r="AL33" i="23" s="1" a="1"/>
  <c r="AL33" i="23" s="1"/>
  <c r="AJ34" i="23"/>
  <c r="AK34" i="23" s="1"/>
  <c r="AL34" i="23" s="1" a="1"/>
  <c r="AL34" i="23" s="1"/>
  <c r="AJ35" i="23"/>
  <c r="AK35" i="23" s="1"/>
  <c r="AL35" i="23" s="1" a="1"/>
  <c r="AL35" i="23" s="1"/>
  <c r="AJ36" i="23"/>
  <c r="AK36" i="23" s="1"/>
  <c r="AL36" i="23" s="1" a="1"/>
  <c r="AL36" i="23" s="1"/>
  <c r="AJ37" i="23"/>
  <c r="AK37" i="23" s="1"/>
  <c r="AL37" i="23" s="1" a="1"/>
  <c r="AL37" i="23" s="1"/>
  <c r="AJ38" i="23"/>
  <c r="AK38" i="23" s="1"/>
  <c r="AL38" i="23" s="1" a="1"/>
  <c r="AL38" i="23" s="1"/>
  <c r="AJ39" i="23"/>
  <c r="AK39" i="23" s="1"/>
  <c r="AL39" i="23" s="1" a="1"/>
  <c r="AL39" i="23" s="1"/>
  <c r="AJ40" i="23"/>
  <c r="AK40" i="23" s="1"/>
  <c r="AL40" i="23" s="1" a="1"/>
  <c r="AL40" i="23" s="1"/>
  <c r="AJ41" i="23"/>
  <c r="AK41" i="23" s="1"/>
  <c r="AL41" i="23" s="1" a="1"/>
  <c r="AL41" i="23" s="1"/>
  <c r="AJ42" i="23"/>
  <c r="AK42" i="23" s="1"/>
  <c r="AL42" i="23" s="1" a="1"/>
  <c r="AL42" i="23" s="1"/>
  <c r="AJ43" i="23"/>
  <c r="AK43" i="23" s="1"/>
  <c r="AL43" i="23" s="1" a="1"/>
  <c r="AL43" i="23" s="1"/>
  <c r="AJ44" i="23"/>
  <c r="AK44" i="23" s="1"/>
  <c r="AL44" i="23" s="1" a="1"/>
  <c r="AL44" i="23" s="1"/>
  <c r="AJ45" i="23"/>
  <c r="AK45" i="23" s="1"/>
  <c r="AL45" i="23" s="1" a="1"/>
  <c r="AL45" i="23" s="1"/>
  <c r="AJ46" i="23"/>
  <c r="AK46" i="23" s="1"/>
  <c r="AL46" i="23" s="1" a="1"/>
  <c r="AL46" i="23" s="1"/>
  <c r="AJ47" i="23"/>
  <c r="AK47" i="23" s="1"/>
  <c r="AL47" i="23" s="1" a="1"/>
  <c r="AL47" i="23" s="1"/>
  <c r="AJ48" i="23"/>
  <c r="AK48" i="23" s="1"/>
  <c r="AL48" i="23" s="1" a="1"/>
  <c r="AL48" i="23" s="1"/>
  <c r="AJ49" i="23"/>
  <c r="AK49" i="23" s="1"/>
  <c r="AL49" i="23" s="1" a="1"/>
  <c r="AL49" i="23" s="1"/>
  <c r="AJ50" i="23"/>
  <c r="AK50" i="23" s="1"/>
  <c r="AL50" i="23" s="1" a="1"/>
  <c r="AL50" i="23" s="1"/>
  <c r="AJ51" i="23"/>
  <c r="AK51" i="23" s="1"/>
  <c r="AL51" i="23" s="1" a="1"/>
  <c r="AL51" i="23" s="1"/>
  <c r="AJ52" i="23"/>
  <c r="AK52" i="23" s="1"/>
  <c r="AL52" i="23" s="1" a="1"/>
  <c r="AL52" i="23" s="1"/>
  <c r="AJ53" i="23"/>
  <c r="AJ54" i="23"/>
  <c r="AJ55" i="23"/>
  <c r="AK56" i="23"/>
  <c r="AL56" i="23" s="1" a="1"/>
  <c r="AL56" i="23" s="1"/>
  <c r="AK7" i="23"/>
  <c r="AL7" i="23" s="1" a="1"/>
  <c r="AL7" i="23" s="1"/>
  <c r="AI8" i="23"/>
  <c r="AI9" i="23"/>
  <c r="AI10" i="23"/>
  <c r="AI11" i="23"/>
  <c r="AI12" i="23"/>
  <c r="AI13" i="23"/>
  <c r="AI14" i="23"/>
  <c r="AI15" i="23"/>
  <c r="AI16" i="23"/>
  <c r="AI17" i="23"/>
  <c r="AI18" i="23"/>
  <c r="AI19" i="23"/>
  <c r="AI20" i="23"/>
  <c r="AI21" i="23"/>
  <c r="AI22" i="23"/>
  <c r="AI23" i="23"/>
  <c r="AI24" i="23"/>
  <c r="AI25" i="23"/>
  <c r="AI26" i="23"/>
  <c r="AI27" i="23"/>
  <c r="AI28" i="23"/>
  <c r="AI29" i="23"/>
  <c r="AI30" i="23"/>
  <c r="AI31" i="23"/>
  <c r="AI32" i="23"/>
  <c r="AI33" i="23"/>
  <c r="AI34" i="23"/>
  <c r="AI35" i="23"/>
  <c r="AI36" i="23"/>
  <c r="AI37" i="23"/>
  <c r="AI38" i="23"/>
  <c r="AI39" i="23"/>
  <c r="AI40" i="23"/>
  <c r="AI41" i="23"/>
  <c r="AI42" i="23"/>
  <c r="AI43" i="23"/>
  <c r="AI44" i="23"/>
  <c r="AI45" i="23"/>
  <c r="AI46" i="23"/>
  <c r="AI47" i="23"/>
  <c r="AI48" i="23"/>
  <c r="AI49" i="23"/>
  <c r="AI50" i="23"/>
  <c r="AI51" i="23"/>
  <c r="AI52" i="23"/>
  <c r="AI53" i="23"/>
  <c r="AI54" i="23"/>
  <c r="AI55" i="23"/>
  <c r="AI56" i="23"/>
  <c r="I13" i="3"/>
  <c r="I12" i="3"/>
  <c r="H13" i="3"/>
  <c r="H12" i="3"/>
  <c r="Z9" i="23"/>
  <c r="Z10" i="23"/>
  <c r="Z11" i="23"/>
  <c r="Z12" i="23"/>
  <c r="Z13" i="23"/>
  <c r="Z14" i="23"/>
  <c r="Z15" i="23"/>
  <c r="Z16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Z44" i="23"/>
  <c r="Z45" i="23"/>
  <c r="Z46" i="23"/>
  <c r="Z47" i="23"/>
  <c r="Z48" i="23"/>
  <c r="Z49" i="23"/>
  <c r="Z50" i="23"/>
  <c r="Z51" i="23"/>
  <c r="Z52" i="23"/>
  <c r="Z53" i="23"/>
  <c r="Z54" i="23"/>
  <c r="Z55" i="23"/>
  <c r="Z56" i="23"/>
  <c r="P12" i="3"/>
  <c r="O13" i="3"/>
  <c r="O12" i="3"/>
  <c r="P13" i="3"/>
  <c r="L13" i="3"/>
  <c r="L12" i="3"/>
  <c r="D114" i="2"/>
  <c r="AC12" i="3" s="1"/>
  <c r="D113" i="2"/>
  <c r="V12" i="3" a="1"/>
  <c r="E151" i="12" l="1"/>
  <c r="E148" i="12"/>
  <c r="E138" i="12"/>
  <c r="E157" i="12"/>
  <c r="E136" i="12"/>
  <c r="E137" i="12"/>
  <c r="E147" i="12"/>
  <c r="E153" i="12"/>
  <c r="E139" i="12"/>
  <c r="E158" i="12"/>
  <c r="E131" i="12"/>
  <c r="E149" i="12"/>
  <c r="E150" i="12"/>
  <c r="E134" i="12"/>
  <c r="E156" i="12"/>
  <c r="E146" i="12"/>
  <c r="E152" i="12"/>
  <c r="E154" i="12"/>
  <c r="E133" i="12"/>
  <c r="E130" i="12"/>
  <c r="E144" i="12"/>
  <c r="E143" i="12"/>
  <c r="E155" i="12"/>
  <c r="E142" i="12"/>
  <c r="E140" i="12"/>
  <c r="E141" i="12"/>
  <c r="E132" i="12"/>
  <c r="E145" i="12"/>
  <c r="E135" i="12"/>
  <c r="R24" i="26"/>
  <c r="R107" i="26"/>
  <c r="V12" i="3"/>
  <c r="K14" i="26"/>
  <c r="M14" i="26"/>
  <c r="R26" i="26"/>
  <c r="R142" i="26"/>
  <c r="R90" i="26"/>
  <c r="R153" i="26"/>
  <c r="R40" i="26"/>
  <c r="R71" i="26"/>
  <c r="R88" i="26"/>
  <c r="R59" i="26"/>
  <c r="R67" i="26"/>
  <c r="R145" i="26"/>
  <c r="R72" i="26"/>
  <c r="Q17" i="26"/>
  <c r="M17" i="26"/>
  <c r="K17" i="26"/>
  <c r="R50" i="26"/>
  <c r="R64" i="26"/>
  <c r="R82" i="26"/>
  <c r="R58" i="26"/>
  <c r="R57" i="26"/>
  <c r="R49" i="26"/>
  <c r="R89" i="26"/>
  <c r="R34" i="26"/>
  <c r="R125" i="26"/>
  <c r="R133" i="26"/>
  <c r="R66" i="26"/>
  <c r="R136" i="26"/>
  <c r="R81" i="26"/>
  <c r="R120" i="26"/>
  <c r="AC14" i="26"/>
  <c r="AC14" i="30"/>
  <c r="R25" i="26"/>
  <c r="R73" i="26"/>
  <c r="R117" i="26"/>
  <c r="R93" i="26"/>
  <c r="R23" i="26"/>
  <c r="R42" i="26"/>
  <c r="R112" i="26"/>
  <c r="R122" i="26"/>
  <c r="R95" i="26"/>
  <c r="R77" i="26"/>
  <c r="R137" i="26"/>
  <c r="R128" i="26"/>
  <c r="R21" i="26"/>
  <c r="R98" i="26"/>
  <c r="R97" i="26"/>
  <c r="R85" i="26"/>
  <c r="R105" i="26"/>
  <c r="R45" i="26"/>
  <c r="AM57" i="23"/>
  <c r="AN57" i="23"/>
  <c r="AM56" i="23"/>
  <c r="AM55" i="23"/>
  <c r="CQ61" i="23"/>
  <c r="Y32" i="26" a="1"/>
  <c r="Y32" i="26" s="1"/>
  <c r="AA18" i="26" a="1"/>
  <c r="AA18" i="26" s="1"/>
  <c r="Y82" i="26" a="1"/>
  <c r="Y82" i="26" s="1"/>
  <c r="AA20" i="26" a="1"/>
  <c r="AA20" i="26" s="1"/>
  <c r="AA40" i="26" a="1"/>
  <c r="AA40" i="26" s="1"/>
  <c r="AA41" i="26" a="1"/>
  <c r="AA41" i="26" s="1"/>
  <c r="Z89" i="26" a="1"/>
  <c r="Z89" i="26" s="1"/>
  <c r="AA157" i="26" a="1"/>
  <c r="AA157" i="26" s="1"/>
  <c r="Y83" i="26" a="1"/>
  <c r="Y83" i="26" s="1"/>
  <c r="Y94" i="26" a="1"/>
  <c r="Y94" i="26" s="1"/>
  <c r="Z154" i="26" a="1"/>
  <c r="Z154" i="26" s="1"/>
  <c r="Z147" i="26" a="1"/>
  <c r="Z147" i="26" s="1"/>
  <c r="Y60" i="26" a="1"/>
  <c r="Y60" i="26" s="1"/>
  <c r="Y100" i="26" a="1"/>
  <c r="Y100" i="26" s="1"/>
  <c r="Y140" i="26" a="1"/>
  <c r="Y140" i="26" s="1"/>
  <c r="Y112" i="26" a="1"/>
  <c r="Y112" i="26" s="1"/>
  <c r="Y153" i="26" a="1"/>
  <c r="Y153" i="26" s="1"/>
  <c r="AA26" i="26" a="1"/>
  <c r="AA26" i="26" s="1"/>
  <c r="Y23" i="26" a="1"/>
  <c r="Y23" i="26" s="1"/>
  <c r="AA77" i="26" a="1"/>
  <c r="AA77" i="26" s="1"/>
  <c r="Z109" i="26" a="1"/>
  <c r="Z109" i="26" s="1"/>
  <c r="Z143" i="26" a="1"/>
  <c r="Z143" i="26" s="1"/>
  <c r="Y62" i="26" a="1"/>
  <c r="Y62" i="26" s="1"/>
  <c r="Z134" i="26" a="1"/>
  <c r="Z134" i="26" s="1"/>
  <c r="Y63" i="26" a="1"/>
  <c r="Y63" i="26" s="1"/>
  <c r="AA28" i="26" a="1"/>
  <c r="AA28" i="26" s="1"/>
  <c r="AA48" i="26" a="1"/>
  <c r="AA48" i="26" s="1"/>
  <c r="Y49" i="26" a="1"/>
  <c r="Y49" i="26" s="1"/>
  <c r="Y37" i="26" a="1"/>
  <c r="Y37" i="26" s="1"/>
  <c r="Y148" i="26" a="1"/>
  <c r="Y148" i="26" s="1"/>
  <c r="Z128" i="26" a="1"/>
  <c r="Z128" i="26" s="1"/>
  <c r="Z34" i="26" a="1"/>
  <c r="Z34" i="26" s="1"/>
  <c r="AA85" i="26" a="1"/>
  <c r="AA85" i="26" s="1"/>
  <c r="Y30" i="26" a="1"/>
  <c r="Y30" i="26" s="1"/>
  <c r="Z102" i="26" a="1"/>
  <c r="Z102" i="26" s="1"/>
  <c r="Z71" i="26" a="1"/>
  <c r="Z71" i="26" s="1"/>
  <c r="AA111" i="26" a="1"/>
  <c r="AA111" i="26" s="1"/>
  <c r="AA75" i="26" a="1"/>
  <c r="AA75" i="26" s="1"/>
  <c r="AA56" i="26" a="1"/>
  <c r="AA56" i="26" s="1"/>
  <c r="Z105" i="26" a="1"/>
  <c r="Z105" i="26" s="1"/>
  <c r="Y45" i="26" a="1"/>
  <c r="Y45" i="26" s="1"/>
  <c r="Y139" i="26" a="1"/>
  <c r="Y139" i="26" s="1"/>
  <c r="Y142" i="26" a="1"/>
  <c r="Y142" i="26" s="1"/>
  <c r="AA59" i="26" a="1"/>
  <c r="AA59" i="26" s="1"/>
  <c r="AA151" i="26" a="1"/>
  <c r="AA151" i="26" s="1"/>
  <c r="AA76" i="26" a="1"/>
  <c r="AA76" i="26" s="1"/>
  <c r="Z155" i="26" a="1"/>
  <c r="Z155" i="26" s="1"/>
  <c r="Z64" i="26" a="1"/>
  <c r="Z64" i="26" s="1"/>
  <c r="AA144" i="26" a="1"/>
  <c r="AA144" i="26" s="1"/>
  <c r="Z57" i="26" a="1"/>
  <c r="Z57" i="26" s="1"/>
  <c r="Z114" i="26" a="1"/>
  <c r="Z114" i="26" s="1"/>
  <c r="AA116" i="26" a="1"/>
  <c r="AA116" i="26" s="1"/>
  <c r="Z156" i="26" a="1"/>
  <c r="Z156" i="26" s="1"/>
  <c r="Y72" i="26" a="1"/>
  <c r="Y72" i="26" s="1"/>
  <c r="AA119" i="26" a="1"/>
  <c r="AA119" i="26" s="1"/>
  <c r="T14" i="26"/>
  <c r="AA93" i="26" a="1"/>
  <c r="AA93" i="26" s="1"/>
  <c r="Y110" i="26" a="1"/>
  <c r="Y110" i="26" s="1"/>
  <c r="AA150" i="26" a="1"/>
  <c r="AA150" i="26" s="1"/>
  <c r="AA91" i="26" a="1"/>
  <c r="AA91" i="26" s="1"/>
  <c r="AA99" i="26" a="1"/>
  <c r="AA99" i="26" s="1"/>
  <c r="Z80" i="26" a="1"/>
  <c r="Z80" i="26" s="1"/>
  <c r="AA65" i="26" a="1"/>
  <c r="AA65" i="26" s="1"/>
  <c r="AA53" i="26" a="1"/>
  <c r="AA53" i="26" s="1"/>
  <c r="Z78" i="26" a="1"/>
  <c r="Z78" i="26" s="1"/>
  <c r="AA160" i="26" a="1"/>
  <c r="AA160" i="26" s="1"/>
  <c r="AA121" i="26" a="1"/>
  <c r="AA121" i="26" s="1"/>
  <c r="AA133" i="26" a="1"/>
  <c r="AA133" i="26" s="1"/>
  <c r="Z115" i="26" a="1"/>
  <c r="Z115" i="26" s="1"/>
  <c r="Z87" i="26" a="1"/>
  <c r="Z87" i="26" s="1"/>
  <c r="AA127" i="26" a="1"/>
  <c r="AA127" i="26" s="1"/>
  <c r="AA124" i="26" a="1"/>
  <c r="AA124" i="26" s="1"/>
  <c r="Y73" i="26" a="1"/>
  <c r="Y73" i="26" s="1"/>
  <c r="Z66" i="26" a="1"/>
  <c r="Z66" i="26" s="1"/>
  <c r="Z46" i="26" a="1"/>
  <c r="Z46" i="26" s="1"/>
  <c r="Z47" i="26" a="1"/>
  <c r="Z47" i="26" s="1"/>
  <c r="Y138" i="26" a="1"/>
  <c r="Y138" i="26" s="1"/>
  <c r="AA88" i="26" a="1"/>
  <c r="AA88" i="26" s="1"/>
  <c r="Z25" i="26" a="1"/>
  <c r="Z25" i="26" s="1"/>
  <c r="AA141" i="26" a="1"/>
  <c r="AA141" i="26" s="1"/>
  <c r="Y95" i="26" a="1"/>
  <c r="Y95" i="26" s="1"/>
  <c r="AA92" i="26" a="1"/>
  <c r="AA92" i="26" s="1"/>
  <c r="Z81" i="26" a="1"/>
  <c r="Z81" i="26" s="1"/>
  <c r="Z61" i="26" a="1"/>
  <c r="Z61" i="26" s="1"/>
  <c r="AA101" i="26" a="1"/>
  <c r="AA101" i="26" s="1"/>
  <c r="Y67" i="26" a="1"/>
  <c r="Y67" i="26" s="1"/>
  <c r="Y86" i="26" a="1"/>
  <c r="Y86" i="26" s="1"/>
  <c r="Z130" i="26" a="1"/>
  <c r="Z130" i="26" s="1"/>
  <c r="Z131" i="26" a="1"/>
  <c r="Z131" i="26" s="1"/>
  <c r="Y52" i="26" a="1"/>
  <c r="Y52" i="26" s="1"/>
  <c r="AA132" i="26" a="1"/>
  <c r="AA132" i="26" s="1"/>
  <c r="Y24" i="26" a="1"/>
  <c r="Y24" i="26" s="1"/>
  <c r="Y104" i="26" a="1"/>
  <c r="Y104" i="26" s="1"/>
  <c r="AA137" i="26" a="1"/>
  <c r="AA137" i="26" s="1"/>
  <c r="Z29" i="26" a="1"/>
  <c r="Z29" i="26" s="1"/>
  <c r="AA69" i="26" a="1"/>
  <c r="AA69" i="26" s="1"/>
  <c r="Y54" i="26" a="1"/>
  <c r="Y54" i="26" s="1"/>
  <c r="Z146" i="26" a="1"/>
  <c r="Z146" i="26" s="1"/>
  <c r="Z100" i="26" a="1"/>
  <c r="Z100" i="26" s="1"/>
  <c r="Z145" i="26" a="1"/>
  <c r="Z145" i="26" s="1"/>
  <c r="T82" i="30"/>
  <c r="T81" i="30"/>
  <c r="T80" i="30"/>
  <c r="T79" i="30"/>
  <c r="T78" i="30"/>
  <c r="T77" i="30"/>
  <c r="T76" i="30"/>
  <c r="T64" i="30"/>
  <c r="T113" i="30"/>
  <c r="T41" i="30"/>
  <c r="T36" i="30"/>
  <c r="T38" i="30"/>
  <c r="T17" i="30"/>
  <c r="T75" i="30"/>
  <c r="T112" i="30"/>
  <c r="T50" i="30"/>
  <c r="T44" i="30"/>
  <c r="T34" i="30"/>
  <c r="T160" i="30"/>
  <c r="T159" i="30"/>
  <c r="T158" i="30"/>
  <c r="T157" i="30"/>
  <c r="T156" i="30"/>
  <c r="T155" i="30"/>
  <c r="T154" i="30"/>
  <c r="T153" i="30"/>
  <c r="T152" i="30"/>
  <c r="T151" i="30"/>
  <c r="T150" i="30"/>
  <c r="T149" i="30"/>
  <c r="T148" i="30"/>
  <c r="T147" i="30"/>
  <c r="T146" i="30"/>
  <c r="T145" i="30"/>
  <c r="T115" i="30"/>
  <c r="T42" i="30"/>
  <c r="T33" i="30"/>
  <c r="T144" i="30"/>
  <c r="T143" i="30"/>
  <c r="T142" i="30"/>
  <c r="T141" i="30"/>
  <c r="T74" i="30"/>
  <c r="T73" i="30"/>
  <c r="T72" i="30"/>
  <c r="T71" i="30"/>
  <c r="T70" i="30"/>
  <c r="T69" i="30"/>
  <c r="T68" i="30"/>
  <c r="T48" i="30"/>
  <c r="T140" i="30"/>
  <c r="T67" i="30"/>
  <c r="T66" i="30"/>
  <c r="T65" i="30"/>
  <c r="T18" i="30"/>
  <c r="T139" i="30"/>
  <c r="T138" i="30"/>
  <c r="T137" i="30"/>
  <c r="T136" i="30"/>
  <c r="T120" i="30"/>
  <c r="T135" i="30"/>
  <c r="T134" i="30"/>
  <c r="T133" i="30"/>
  <c r="T132" i="30"/>
  <c r="T63" i="30"/>
  <c r="T62" i="30"/>
  <c r="T61" i="30"/>
  <c r="T60" i="30"/>
  <c r="T59" i="30"/>
  <c r="T58" i="30"/>
  <c r="T57" i="30"/>
  <c r="T56" i="30"/>
  <c r="T55" i="30"/>
  <c r="T54" i="30"/>
  <c r="T53" i="30"/>
  <c r="T52" i="30"/>
  <c r="T117" i="30"/>
  <c r="T131" i="30"/>
  <c r="T130" i="30"/>
  <c r="T129" i="30"/>
  <c r="T128" i="30"/>
  <c r="T127" i="30"/>
  <c r="T126" i="30"/>
  <c r="T125" i="30"/>
  <c r="T124" i="30"/>
  <c r="T123" i="30"/>
  <c r="T122" i="30"/>
  <c r="T121" i="30"/>
  <c r="T119" i="30"/>
  <c r="T118" i="30"/>
  <c r="T116" i="30"/>
  <c r="T45" i="30"/>
  <c r="T110" i="30"/>
  <c r="T37" i="30"/>
  <c r="T109" i="30"/>
  <c r="T108" i="30"/>
  <c r="T107" i="30"/>
  <c r="T106" i="30"/>
  <c r="T105" i="30"/>
  <c r="T32" i="30"/>
  <c r="T104" i="30"/>
  <c r="T103" i="30"/>
  <c r="T102" i="30"/>
  <c r="T101" i="30"/>
  <c r="T100" i="30"/>
  <c r="T99" i="30"/>
  <c r="T98" i="30"/>
  <c r="T97" i="30"/>
  <c r="T96" i="30"/>
  <c r="T95" i="30"/>
  <c r="T94" i="30"/>
  <c r="T93" i="30"/>
  <c r="T92" i="30"/>
  <c r="T91" i="30"/>
  <c r="T31" i="30"/>
  <c r="T30" i="30"/>
  <c r="T29" i="30"/>
  <c r="T28" i="30"/>
  <c r="T19" i="30"/>
  <c r="T111" i="30"/>
  <c r="T51" i="30"/>
  <c r="T43" i="30"/>
  <c r="T35" i="30"/>
  <c r="T90" i="30"/>
  <c r="T27" i="30"/>
  <c r="T26" i="30"/>
  <c r="T25" i="30"/>
  <c r="T24" i="30"/>
  <c r="T23" i="30"/>
  <c r="T22" i="30"/>
  <c r="T21" i="30"/>
  <c r="T20" i="30"/>
  <c r="T14" i="30"/>
  <c r="T89" i="30"/>
  <c r="T16" i="30"/>
  <c r="T49" i="30"/>
  <c r="T88" i="30"/>
  <c r="T15" i="30"/>
  <c r="T46" i="30"/>
  <c r="T39" i="30"/>
  <c r="T87" i="30"/>
  <c r="T86" i="30"/>
  <c r="T85" i="30"/>
  <c r="T84" i="30"/>
  <c r="T83" i="30"/>
  <c r="T114" i="30"/>
  <c r="T47" i="30"/>
  <c r="T40" i="30"/>
  <c r="R15" i="26"/>
  <c r="R18" i="26"/>
  <c r="G9" i="26"/>
  <c r="Y155" i="26" a="1"/>
  <c r="Y155" i="26" s="1"/>
  <c r="Z148" i="26" a="1"/>
  <c r="Z148" i="26" s="1"/>
  <c r="AA148" i="26" a="1"/>
  <c r="AA148" i="26" s="1"/>
  <c r="AA143" i="26" a="1"/>
  <c r="AA143" i="26" s="1"/>
  <c r="AA123" i="26" a="1"/>
  <c r="AA123" i="26" s="1"/>
  <c r="Z159" i="26" a="1"/>
  <c r="Z159" i="26" s="1"/>
  <c r="AA100" i="26" a="1"/>
  <c r="AA100" i="26" s="1"/>
  <c r="AA140" i="26" a="1"/>
  <c r="AA140" i="26" s="1"/>
  <c r="Y92" i="26" a="1"/>
  <c r="Y92" i="26" s="1"/>
  <c r="Y146" i="26" a="1"/>
  <c r="Y146" i="26" s="1"/>
  <c r="AA146" i="26" a="1"/>
  <c r="AA146" i="26" s="1"/>
  <c r="Y123" i="26" a="1"/>
  <c r="Y123" i="26" s="1"/>
  <c r="Z60" i="26" a="1"/>
  <c r="Z60" i="26" s="1"/>
  <c r="Y124" i="26" a="1"/>
  <c r="Y124" i="26" s="1"/>
  <c r="AA84" i="26" a="1"/>
  <c r="AA84" i="26" s="1"/>
  <c r="AA44" i="26" a="1"/>
  <c r="AA44" i="26" s="1"/>
  <c r="Z124" i="26" a="1"/>
  <c r="Z124" i="26" s="1"/>
  <c r="AA159" i="26" a="1"/>
  <c r="AA159" i="26" s="1"/>
  <c r="Z36" i="26" a="1"/>
  <c r="Z36" i="26" s="1"/>
  <c r="AA60" i="26" a="1"/>
  <c r="AA60" i="26" s="1"/>
  <c r="AA156" i="26" a="1"/>
  <c r="AA156" i="26" s="1"/>
  <c r="AA103" i="26" a="1"/>
  <c r="AA103" i="26" s="1"/>
  <c r="AA63" i="26" a="1"/>
  <c r="AA63" i="26" s="1"/>
  <c r="T22" i="26"/>
  <c r="T30" i="26"/>
  <c r="T38" i="26"/>
  <c r="T46" i="26"/>
  <c r="T54" i="26"/>
  <c r="T62" i="26"/>
  <c r="T70" i="26"/>
  <c r="T78" i="26"/>
  <c r="T86" i="26"/>
  <c r="T94" i="26"/>
  <c r="T102" i="26"/>
  <c r="T110" i="26"/>
  <c r="T118" i="26"/>
  <c r="T126" i="26"/>
  <c r="T134" i="26"/>
  <c r="T142" i="26"/>
  <c r="T150" i="26"/>
  <c r="T158" i="26"/>
  <c r="T15" i="26"/>
  <c r="T23" i="26"/>
  <c r="T31" i="26"/>
  <c r="T39" i="26"/>
  <c r="T47" i="26"/>
  <c r="T55" i="26"/>
  <c r="T63" i="26"/>
  <c r="T71" i="26"/>
  <c r="T79" i="26"/>
  <c r="T87" i="26"/>
  <c r="T95" i="26"/>
  <c r="T103" i="26"/>
  <c r="T111" i="26"/>
  <c r="T119" i="26"/>
  <c r="T127" i="26"/>
  <c r="T135" i="26"/>
  <c r="T143" i="26"/>
  <c r="T151" i="26"/>
  <c r="T159" i="26"/>
  <c r="T16" i="26"/>
  <c r="T24" i="26"/>
  <c r="T32" i="26"/>
  <c r="T40" i="26"/>
  <c r="T48" i="26"/>
  <c r="T56" i="26"/>
  <c r="T64" i="26"/>
  <c r="T72" i="26"/>
  <c r="T80" i="26"/>
  <c r="T88" i="26"/>
  <c r="T96" i="26"/>
  <c r="T104" i="26"/>
  <c r="T112" i="26"/>
  <c r="T120" i="26"/>
  <c r="T128" i="26"/>
  <c r="T136" i="26"/>
  <c r="T144" i="26"/>
  <c r="T152" i="26"/>
  <c r="T160" i="26"/>
  <c r="T19" i="26"/>
  <c r="T27" i="26"/>
  <c r="T35" i="26"/>
  <c r="T43" i="26"/>
  <c r="T51" i="26"/>
  <c r="T59" i="26"/>
  <c r="T67" i="26"/>
  <c r="T75" i="26"/>
  <c r="T83" i="26"/>
  <c r="T91" i="26"/>
  <c r="T99" i="26"/>
  <c r="T107" i="26"/>
  <c r="T115" i="26"/>
  <c r="T123" i="26"/>
  <c r="T131" i="26"/>
  <c r="T139" i="26"/>
  <c r="T147" i="26"/>
  <c r="T155" i="26"/>
  <c r="T20" i="26"/>
  <c r="T28" i="26"/>
  <c r="T36" i="26"/>
  <c r="T44" i="26"/>
  <c r="T52" i="26"/>
  <c r="T60" i="26"/>
  <c r="T68" i="26"/>
  <c r="T76" i="26"/>
  <c r="T84" i="26"/>
  <c r="T92" i="26"/>
  <c r="T100" i="26"/>
  <c r="T108" i="26"/>
  <c r="T116" i="26"/>
  <c r="T124" i="26"/>
  <c r="T132" i="26"/>
  <c r="T140" i="26"/>
  <c r="T148" i="26"/>
  <c r="T156" i="26"/>
  <c r="T21" i="26"/>
  <c r="T29" i="26"/>
  <c r="T37" i="26"/>
  <c r="T45" i="26"/>
  <c r="T53" i="26"/>
  <c r="T61" i="26"/>
  <c r="T69" i="26"/>
  <c r="T77" i="26"/>
  <c r="T85" i="26"/>
  <c r="T93" i="26"/>
  <c r="T101" i="26"/>
  <c r="T109" i="26"/>
  <c r="T117" i="26"/>
  <c r="T125" i="26"/>
  <c r="T133" i="26"/>
  <c r="T141" i="26"/>
  <c r="T149" i="26"/>
  <c r="T157" i="26"/>
  <c r="T17" i="26"/>
  <c r="T33" i="26"/>
  <c r="T41" i="26"/>
  <c r="T49" i="26"/>
  <c r="T57" i="26"/>
  <c r="T65" i="26"/>
  <c r="T73" i="26"/>
  <c r="T81" i="26"/>
  <c r="T89" i="26"/>
  <c r="T97" i="26"/>
  <c r="T113" i="26"/>
  <c r="T121" i="26"/>
  <c r="T129" i="26"/>
  <c r="T137" i="26"/>
  <c r="T26" i="26"/>
  <c r="T90" i="26"/>
  <c r="T145" i="26"/>
  <c r="T34" i="26"/>
  <c r="T98" i="26"/>
  <c r="T146" i="26"/>
  <c r="T42" i="26"/>
  <c r="T105" i="26"/>
  <c r="T153" i="26"/>
  <c r="T50" i="26"/>
  <c r="T106" i="26"/>
  <c r="T154" i="26"/>
  <c r="T58" i="26"/>
  <c r="T114" i="26"/>
  <c r="T66" i="26"/>
  <c r="T122" i="26"/>
  <c r="T18" i="26"/>
  <c r="T74" i="26"/>
  <c r="T130" i="26"/>
  <c r="T25" i="26"/>
  <c r="T82" i="26"/>
  <c r="T138" i="26"/>
  <c r="R106" i="26"/>
  <c r="R157" i="26"/>
  <c r="R132" i="26"/>
  <c r="Z20" i="26" a="1"/>
  <c r="Z20" i="26" s="1"/>
  <c r="Z52" i="26" a="1"/>
  <c r="Z52" i="26" s="1"/>
  <c r="Z116" i="26" a="1"/>
  <c r="Z116" i="26" s="1"/>
  <c r="Z138" i="26" a="1"/>
  <c r="Z138" i="26" s="1"/>
  <c r="Y36" i="26" a="1"/>
  <c r="Y36" i="26" s="1"/>
  <c r="Y20" i="26" a="1"/>
  <c r="Y20" i="26" s="1"/>
  <c r="AA142" i="26" a="1"/>
  <c r="AA142" i="26" s="1"/>
  <c r="Z125" i="26" a="1"/>
  <c r="Z125" i="26" s="1"/>
  <c r="AA55" i="26" a="1"/>
  <c r="AA55" i="26" s="1"/>
  <c r="AA67" i="26" a="1"/>
  <c r="AA67" i="26" s="1"/>
  <c r="Z142" i="26" a="1"/>
  <c r="Z142" i="26" s="1"/>
  <c r="Y125" i="26" a="1"/>
  <c r="Y125" i="26" s="1"/>
  <c r="Z144" i="26" a="1"/>
  <c r="Z144" i="26" s="1"/>
  <c r="Z150" i="26" a="1"/>
  <c r="Z150" i="26" s="1"/>
  <c r="Y150" i="26" a="1"/>
  <c r="Y150" i="26" s="1"/>
  <c r="Z32" i="26" a="1"/>
  <c r="Z32" i="26" s="1"/>
  <c r="AA22" i="26" a="1"/>
  <c r="AA22" i="26" s="1"/>
  <c r="Y19" i="26" a="1"/>
  <c r="Y19" i="26" s="1"/>
  <c r="Z75" i="26" a="1"/>
  <c r="Z75" i="26" s="1"/>
  <c r="Z123" i="26" a="1"/>
  <c r="Z123" i="26" s="1"/>
  <c r="Z88" i="26" a="1"/>
  <c r="Z88" i="26" s="1"/>
  <c r="Y59" i="26" a="1"/>
  <c r="Y59" i="26" s="1"/>
  <c r="Y76" i="26" a="1"/>
  <c r="Y76" i="26" s="1"/>
  <c r="Y117" i="26" a="1"/>
  <c r="Y117" i="26" s="1"/>
  <c r="AA70" i="26" a="1"/>
  <c r="AA70" i="26" s="1"/>
  <c r="Y145" i="26" a="1"/>
  <c r="Y145" i="26" s="1"/>
  <c r="Y96" i="26" a="1"/>
  <c r="Y96" i="26" s="1"/>
  <c r="Y141" i="26" a="1"/>
  <c r="Y141" i="26" s="1"/>
  <c r="Z149" i="26" a="1"/>
  <c r="Z149" i="26" s="1"/>
  <c r="Y31" i="26" a="1"/>
  <c r="Y31" i="26" s="1"/>
  <c r="Z141" i="26" a="1"/>
  <c r="Z141" i="26" s="1"/>
  <c r="R51" i="26"/>
  <c r="Y28" i="26" a="1"/>
  <c r="Y28" i="26" s="1"/>
  <c r="Y159" i="26" a="1"/>
  <c r="Y159" i="26" s="1"/>
  <c r="Y128" i="26" a="1"/>
  <c r="Y128" i="26" s="1"/>
  <c r="Y71" i="26" a="1"/>
  <c r="Y71" i="26" s="1"/>
  <c r="Y35" i="26" a="1"/>
  <c r="Y35" i="26" s="1"/>
  <c r="R20" i="26"/>
  <c r="AA51" i="26" a="1"/>
  <c r="AA51" i="26" s="1"/>
  <c r="Y18" i="26" a="1"/>
  <c r="Y18" i="26" s="1"/>
  <c r="Z48" i="26" a="1"/>
  <c r="Z48" i="26" s="1"/>
  <c r="Y85" i="26" a="1"/>
  <c r="Y85" i="26" s="1"/>
  <c r="Y44" i="26" a="1"/>
  <c r="Y44" i="26" s="1"/>
  <c r="Z140" i="26" a="1"/>
  <c r="Z140" i="26" s="1"/>
  <c r="Y156" i="26" a="1"/>
  <c r="Y156" i="26" s="1"/>
  <c r="R33" i="26"/>
  <c r="Z18" i="26" a="1"/>
  <c r="Z18" i="26" s="1"/>
  <c r="Z44" i="26" a="1"/>
  <c r="Z44" i="26" s="1"/>
  <c r="R118" i="26"/>
  <c r="R154" i="26"/>
  <c r="R91" i="26"/>
  <c r="Y43" i="26" a="1"/>
  <c r="Y43" i="26" s="1"/>
  <c r="Y29" i="26" a="1"/>
  <c r="Y29" i="26" s="1"/>
  <c r="AA153" i="26" a="1"/>
  <c r="AA153" i="26" s="1"/>
  <c r="AA38" i="26" a="1"/>
  <c r="AA38" i="26" s="1"/>
  <c r="Y90" i="26" a="1"/>
  <c r="Y90" i="26" s="1"/>
  <c r="AA122" i="26" a="1"/>
  <c r="AA122" i="26" s="1"/>
  <c r="Y69" i="26" a="1"/>
  <c r="Y69" i="26" s="1"/>
  <c r="R119" i="26"/>
  <c r="AA115" i="26" a="1"/>
  <c r="AA115" i="26" s="1"/>
  <c r="Y122" i="26" a="1"/>
  <c r="Y122" i="26" s="1"/>
  <c r="AA50" i="26" a="1"/>
  <c r="AA50" i="26" s="1"/>
  <c r="Z38" i="26" a="1"/>
  <c r="Z38" i="26" s="1"/>
  <c r="AA89" i="26" a="1"/>
  <c r="AA89" i="26" s="1"/>
  <c r="R31" i="26"/>
  <c r="Y48" i="26" a="1"/>
  <c r="Y48" i="26" s="1"/>
  <c r="AA43" i="26" a="1"/>
  <c r="AA43" i="26" s="1"/>
  <c r="AA117" i="26" a="1"/>
  <c r="AA117" i="26" s="1"/>
  <c r="Y38" i="26" a="1"/>
  <c r="Y38" i="26" s="1"/>
  <c r="Z17" i="26" a="1"/>
  <c r="Z17" i="26" s="1"/>
  <c r="Z67" i="26" a="1"/>
  <c r="Z67" i="26" s="1"/>
  <c r="Y97" i="26" a="1"/>
  <c r="Y97" i="26" s="1"/>
  <c r="Z158" i="26" a="1"/>
  <c r="Z158" i="26" s="1"/>
  <c r="AA24" i="26" a="1"/>
  <c r="AA24" i="26" s="1"/>
  <c r="AA30" i="26" a="1"/>
  <c r="AA30" i="26" s="1"/>
  <c r="AA102" i="26" a="1"/>
  <c r="AA102" i="26" s="1"/>
  <c r="Y109" i="26" a="1"/>
  <c r="Y109" i="26" s="1"/>
  <c r="Y27" i="26" a="1"/>
  <c r="Y27" i="26" s="1"/>
  <c r="Y25" i="26" a="1"/>
  <c r="Y25" i="26" s="1"/>
  <c r="Y50" i="26" a="1"/>
  <c r="Y50" i="26" s="1"/>
  <c r="AA112" i="26" a="1"/>
  <c r="AA112" i="26" s="1"/>
  <c r="AA109" i="26" a="1"/>
  <c r="AA109" i="26" s="1"/>
  <c r="R148" i="26"/>
  <c r="R149" i="26"/>
  <c r="Y56" i="26" a="1"/>
  <c r="Y56" i="26" s="1"/>
  <c r="Z97" i="26" a="1"/>
  <c r="Z97" i="26" s="1"/>
  <c r="AA107" i="26" a="1"/>
  <c r="AA107" i="26" s="1"/>
  <c r="Z26" i="26" a="1"/>
  <c r="Z26" i="26" s="1"/>
  <c r="Y64" i="26" a="1"/>
  <c r="Y64" i="26" s="1"/>
  <c r="Z96" i="26" a="1"/>
  <c r="Z96" i="26" s="1"/>
  <c r="Y136" i="26" a="1"/>
  <c r="Y136" i="26" s="1"/>
  <c r="Z111" i="26" a="1"/>
  <c r="Z111" i="26" s="1"/>
  <c r="AA95" i="26" a="1"/>
  <c r="AA95" i="26" s="1"/>
  <c r="Z56" i="26" a="1"/>
  <c r="Z56" i="26" s="1"/>
  <c r="AA96" i="26" a="1"/>
  <c r="AA96" i="26" s="1"/>
  <c r="AA36" i="26" a="1"/>
  <c r="AA36" i="26" s="1"/>
  <c r="AA52" i="26" a="1"/>
  <c r="AA52" i="26" s="1"/>
  <c r="R121" i="26"/>
  <c r="R134" i="26"/>
  <c r="R60" i="26"/>
  <c r="R76" i="26"/>
  <c r="AA128" i="26" a="1"/>
  <c r="AA128" i="26" s="1"/>
  <c r="Y26" i="26" a="1"/>
  <c r="Y26" i="26" s="1"/>
  <c r="AA23" i="26" a="1"/>
  <c r="AA23" i="26" s="1"/>
  <c r="AA49" i="26" a="1"/>
  <c r="AA49" i="26" s="1"/>
  <c r="Z59" i="26" a="1"/>
  <c r="Z59" i="26" s="1"/>
  <c r="AA25" i="26" a="1"/>
  <c r="AA25" i="26" s="1"/>
  <c r="AA108" i="26" a="1"/>
  <c r="AA108" i="26" s="1"/>
  <c r="Z153" i="26" a="1"/>
  <c r="Z153" i="26" s="1"/>
  <c r="Y132" i="26" a="1"/>
  <c r="Y132" i="26" s="1"/>
  <c r="Z27" i="26" a="1"/>
  <c r="Z27" i="26" s="1"/>
  <c r="Z121" i="26" a="1"/>
  <c r="Z121" i="26" s="1"/>
  <c r="R144" i="26"/>
  <c r="R48" i="26"/>
  <c r="R41" i="26"/>
  <c r="R83" i="26"/>
  <c r="R44" i="26"/>
  <c r="Z95" i="26" a="1"/>
  <c r="Z95" i="26" s="1"/>
  <c r="Z76" i="26" a="1"/>
  <c r="Z76" i="26" s="1"/>
  <c r="Z49" i="26" a="1"/>
  <c r="Z49" i="26" s="1"/>
  <c r="Y75" i="26" a="1"/>
  <c r="Y75" i="26" s="1"/>
  <c r="Z30" i="26" a="1"/>
  <c r="Z30" i="26" s="1"/>
  <c r="Y116" i="26" a="1"/>
  <c r="Y116" i="26" s="1"/>
  <c r="Z132" i="26" a="1"/>
  <c r="Z132" i="26" s="1"/>
  <c r="AA27" i="26" a="1"/>
  <c r="AA27" i="26" s="1"/>
  <c r="Y46" i="26" a="1"/>
  <c r="Y46" i="26" s="1"/>
  <c r="R152" i="26"/>
  <c r="R113" i="26"/>
  <c r="R35" i="26"/>
  <c r="Y135" i="26" a="1"/>
  <c r="Y135" i="26" s="1"/>
  <c r="AA125" i="26" a="1"/>
  <c r="AA125" i="26" s="1"/>
  <c r="AA97" i="26" a="1"/>
  <c r="AA97" i="26" s="1"/>
  <c r="AA135" i="26" a="1"/>
  <c r="AA135" i="26" s="1"/>
  <c r="Y55" i="26" a="1"/>
  <c r="Y55" i="26" s="1"/>
  <c r="AA138" i="26" a="1"/>
  <c r="AA138" i="26" s="1"/>
  <c r="Z135" i="26" a="1"/>
  <c r="Z135" i="26" s="1"/>
  <c r="Z90" i="26" a="1"/>
  <c r="Z90" i="26" s="1"/>
  <c r="Z55" i="26" a="1"/>
  <c r="Z55" i="26" s="1"/>
  <c r="AA90" i="26" a="1"/>
  <c r="AA90" i="26" s="1"/>
  <c r="AA155" i="26" a="1"/>
  <c r="AA155" i="26" s="1"/>
  <c r="Z92" i="26" a="1"/>
  <c r="Z92" i="26" s="1"/>
  <c r="R116" i="26"/>
  <c r="R141" i="26"/>
  <c r="R22" i="26"/>
  <c r="R147" i="26"/>
  <c r="R92" i="26"/>
  <c r="R108" i="26"/>
  <c r="R124" i="26"/>
  <c r="R56" i="26"/>
  <c r="Y147" i="26" a="1"/>
  <c r="Y147" i="26" s="1"/>
  <c r="AA29" i="26" a="1"/>
  <c r="AA29" i="26" s="1"/>
  <c r="Z139" i="26" a="1"/>
  <c r="Z139" i="26" s="1"/>
  <c r="Z85" i="26" a="1"/>
  <c r="Z85" i="26" s="1"/>
  <c r="Y74" i="26" a="1"/>
  <c r="Y74" i="26" s="1"/>
  <c r="Y133" i="26" a="1"/>
  <c r="Y133" i="26" s="1"/>
  <c r="Y127" i="26" a="1"/>
  <c r="Y127" i="26" s="1"/>
  <c r="Y118" i="26" a="1"/>
  <c r="Y118" i="26" s="1"/>
  <c r="Y57" i="26" a="1"/>
  <c r="Y57" i="26" s="1"/>
  <c r="AA134" i="26" a="1"/>
  <c r="AA134" i="26" s="1"/>
  <c r="Z84" i="26" a="1"/>
  <c r="Z84" i="26" s="1"/>
  <c r="AA145" i="26" a="1"/>
  <c r="AA145" i="26" s="1"/>
  <c r="AA87" i="26" a="1"/>
  <c r="AA87" i="26" s="1"/>
  <c r="Y103" i="26" a="1"/>
  <c r="Y103" i="26" s="1"/>
  <c r="Y91" i="26" a="1"/>
  <c r="Y91" i="26" s="1"/>
  <c r="AA79" i="26" a="1"/>
  <c r="AA79" i="26" s="1"/>
  <c r="Y51" i="26" a="1"/>
  <c r="Y51" i="26" s="1"/>
  <c r="Z51" i="26" a="1"/>
  <c r="Z51" i="26" s="1"/>
  <c r="Z79" i="26" a="1"/>
  <c r="Z79" i="26" s="1"/>
  <c r="AA114" i="26" a="1"/>
  <c r="AA114" i="26" s="1"/>
  <c r="Z19" i="26" a="1"/>
  <c r="Z19" i="26" s="1"/>
  <c r="Y61" i="26" a="1"/>
  <c r="Y61" i="26" s="1"/>
  <c r="Y105" i="26" a="1"/>
  <c r="Y105" i="26" s="1"/>
  <c r="Y17" i="26" a="1"/>
  <c r="Y17" i="26" s="1"/>
  <c r="Y84" i="26" a="1"/>
  <c r="Y84" i="26" s="1"/>
  <c r="R80" i="26"/>
  <c r="R130" i="26"/>
  <c r="R68" i="26"/>
  <c r="R158" i="26"/>
  <c r="Y115" i="26" a="1"/>
  <c r="Y115" i="26" s="1"/>
  <c r="AA147" i="26" a="1"/>
  <c r="AA147" i="26" s="1"/>
  <c r="Z39" i="26" a="1"/>
  <c r="Z39" i="26" s="1"/>
  <c r="Y79" i="26" a="1"/>
  <c r="Y79" i="26" s="1"/>
  <c r="Z50" i="26" a="1"/>
  <c r="Z50" i="26" s="1"/>
  <c r="AA139" i="26" a="1"/>
  <c r="AA139" i="26" s="1"/>
  <c r="Z133" i="26" a="1"/>
  <c r="Z133" i="26" s="1"/>
  <c r="Z127" i="26" a="1"/>
  <c r="Z127" i="26" s="1"/>
  <c r="AA19" i="26" a="1"/>
  <c r="AA19" i="26" s="1"/>
  <c r="AA61" i="26" a="1"/>
  <c r="AA61" i="26" s="1"/>
  <c r="Y134" i="26" a="1"/>
  <c r="Y134" i="26" s="1"/>
  <c r="AA17" i="26" a="1"/>
  <c r="AA17" i="26" s="1"/>
  <c r="R115" i="26"/>
  <c r="R52" i="26"/>
  <c r="Z103" i="26" a="1"/>
  <c r="Z103" i="26" s="1"/>
  <c r="Y143" i="26" a="1"/>
  <c r="Y143" i="26" s="1"/>
  <c r="Y114" i="26" a="1"/>
  <c r="Y114" i="26" s="1"/>
  <c r="AA118" i="26" a="1"/>
  <c r="AA118" i="26" s="1"/>
  <c r="Y113" i="26" a="1"/>
  <c r="Y113" i="26" s="1"/>
  <c r="R19" i="26"/>
  <c r="R123" i="26"/>
  <c r="R79" i="26"/>
  <c r="R103" i="26"/>
  <c r="R29" i="26"/>
  <c r="Z82" i="26" a="1"/>
  <c r="Z82" i="26" s="1"/>
  <c r="AA39" i="26" a="1"/>
  <c r="AA39" i="26" s="1"/>
  <c r="Z101" i="26" a="1"/>
  <c r="Z101" i="26" s="1"/>
  <c r="Y89" i="26" a="1"/>
  <c r="Y89" i="26" s="1"/>
  <c r="AA105" i="26" a="1"/>
  <c r="AA105" i="26" s="1"/>
  <c r="R156" i="26"/>
  <c r="R47" i="26"/>
  <c r="Z117" i="26" a="1"/>
  <c r="Z117" i="26" s="1"/>
  <c r="Z91" i="26" a="1"/>
  <c r="Z91" i="26" s="1"/>
  <c r="Z122" i="26" a="1"/>
  <c r="Z122" i="26" s="1"/>
  <c r="AA154" i="26" a="1"/>
  <c r="AA154" i="26" s="1"/>
  <c r="Z54" i="26" a="1"/>
  <c r="Z54" i="26" s="1"/>
  <c r="Y106" i="26" a="1"/>
  <c r="Y106" i="26" s="1"/>
  <c r="Y101" i="26" a="1"/>
  <c r="Y101" i="26" s="1"/>
  <c r="Y78" i="26" a="1"/>
  <c r="Y78" i="26" s="1"/>
  <c r="AA86" i="26" a="1"/>
  <c r="AA86" i="26" s="1"/>
  <c r="Y102" i="26" a="1"/>
  <c r="Y102" i="26" s="1"/>
  <c r="Z118" i="26" a="1"/>
  <c r="Z118" i="26" s="1"/>
  <c r="Z113" i="26" a="1"/>
  <c r="Z113" i="26" s="1"/>
  <c r="Y158" i="26" a="1"/>
  <c r="Y158" i="26" s="1"/>
  <c r="AA46" i="26" a="1"/>
  <c r="AA46" i="26" s="1"/>
  <c r="Z65" i="26" a="1"/>
  <c r="Z65" i="26" s="1"/>
  <c r="AA129" i="26" a="1"/>
  <c r="AA129" i="26" s="1"/>
  <c r="R110" i="26"/>
  <c r="R32" i="26"/>
  <c r="Y154" i="26" a="1"/>
  <c r="Y154" i="26" s="1"/>
  <c r="Z62" i="26" a="1"/>
  <c r="Z62" i="26" s="1"/>
  <c r="Z69" i="26" a="1"/>
  <c r="Z69" i="26" s="1"/>
  <c r="AA54" i="26" a="1"/>
  <c r="AA54" i="26" s="1"/>
  <c r="AA106" i="26" a="1"/>
  <c r="AA106" i="26" s="1"/>
  <c r="Z86" i="26" a="1"/>
  <c r="Z86" i="26" s="1"/>
  <c r="AA113" i="26" a="1"/>
  <c r="AA113" i="26" s="1"/>
  <c r="AA158" i="26" a="1"/>
  <c r="AA158" i="26" s="1"/>
  <c r="Y65" i="26" a="1"/>
  <c r="Y65" i="26" s="1"/>
  <c r="Y129" i="26" a="1"/>
  <c r="Y129" i="26" s="1"/>
  <c r="AA62" i="26" a="1"/>
  <c r="AA62" i="26" s="1"/>
  <c r="Y160" i="26" a="1"/>
  <c r="Y160" i="26" s="1"/>
  <c r="Z160" i="26" a="1"/>
  <c r="Z160" i="26" s="1"/>
  <c r="AA78" i="26" a="1"/>
  <c r="AA78" i="26" s="1"/>
  <c r="AA57" i="26" a="1"/>
  <c r="AA57" i="26" s="1"/>
  <c r="Z129" i="26" a="1"/>
  <c r="Z129" i="26" s="1"/>
  <c r="R46" i="26"/>
  <c r="R62" i="26"/>
  <c r="R87" i="26"/>
  <c r="R139" i="26"/>
  <c r="R135" i="26"/>
  <c r="R75" i="26"/>
  <c r="R39" i="26"/>
  <c r="K16" i="26"/>
  <c r="Z43" i="26" a="1"/>
  <c r="Z43" i="26" s="1"/>
  <c r="AA74" i="26" a="1"/>
  <c r="AA74" i="26" s="1"/>
  <c r="Y70" i="26" a="1"/>
  <c r="Y70" i="26" s="1"/>
  <c r="AA32" i="26" a="1"/>
  <c r="AA32" i="26" s="1"/>
  <c r="R160" i="26"/>
  <c r="R43" i="26"/>
  <c r="R101" i="26"/>
  <c r="AA136" i="26" a="1"/>
  <c r="AA136" i="26" s="1"/>
  <c r="AA73" i="26" a="1"/>
  <c r="AA73" i="26" s="1"/>
  <c r="Z21" i="26" a="1"/>
  <c r="Z21" i="26" s="1"/>
  <c r="AA35" i="26" a="1"/>
  <c r="AA35" i="26" s="1"/>
  <c r="AA80" i="26" a="1"/>
  <c r="AA80" i="26" s="1"/>
  <c r="AA71" i="26" a="1"/>
  <c r="AA71" i="26" s="1"/>
  <c r="Y108" i="26" a="1"/>
  <c r="Y108" i="26" s="1"/>
  <c r="Z22" i="26" a="1"/>
  <c r="Z22" i="26" s="1"/>
  <c r="Y121" i="26" a="1"/>
  <c r="Y121" i="26" s="1"/>
  <c r="Z77" i="26" a="1"/>
  <c r="Z77" i="26" s="1"/>
  <c r="X16" i="26" a="1"/>
  <c r="X16" i="26" s="1"/>
  <c r="AB16" i="26" s="1" a="1"/>
  <c r="AB16" i="26" s="1"/>
  <c r="R104" i="26"/>
  <c r="R70" i="26"/>
  <c r="R100" i="26"/>
  <c r="Y40" i="26" a="1"/>
  <c r="Y40" i="26" s="1"/>
  <c r="Z33" i="26" a="1"/>
  <c r="Z33" i="26" s="1"/>
  <c r="Z35" i="26" a="1"/>
  <c r="Z35" i="26" s="1"/>
  <c r="AA64" i="26" a="1"/>
  <c r="AA64" i="26" s="1"/>
  <c r="AA66" i="26" a="1"/>
  <c r="AA66" i="26" s="1"/>
  <c r="Z108" i="26" a="1"/>
  <c r="Z108" i="26" s="1"/>
  <c r="Y22" i="26" a="1"/>
  <c r="Y22" i="26" s="1"/>
  <c r="Y77" i="26" a="1"/>
  <c r="Y77" i="26" s="1"/>
  <c r="M16" i="26"/>
  <c r="R84" i="26"/>
  <c r="R96" i="26"/>
  <c r="Y21" i="26" a="1"/>
  <c r="Y21" i="26" s="1"/>
  <c r="Z23" i="26" a="1"/>
  <c r="Z23" i="26" s="1"/>
  <c r="Z40" i="26" a="1"/>
  <c r="Z40" i="26" s="1"/>
  <c r="Z136" i="26" a="1"/>
  <c r="Z136" i="26" s="1"/>
  <c r="Z73" i="26" a="1"/>
  <c r="Z73" i="26" s="1"/>
  <c r="AA21" i="26" a="1"/>
  <c r="AA21" i="26" s="1"/>
  <c r="Y107" i="26" a="1"/>
  <c r="Y107" i="26" s="1"/>
  <c r="Z31" i="26" a="1"/>
  <c r="Z31" i="26" s="1"/>
  <c r="R38" i="26"/>
  <c r="R69" i="26"/>
  <c r="R28" i="26"/>
  <c r="AA31" i="26" a="1"/>
  <c r="AA31" i="26" s="1"/>
  <c r="Z112" i="26" a="1"/>
  <c r="Z112" i="26" s="1"/>
  <c r="Y144" i="26" a="1"/>
  <c r="Y144" i="26" s="1"/>
  <c r="Z107" i="26" a="1"/>
  <c r="Z107" i="26" s="1"/>
  <c r="Z41" i="26" a="1"/>
  <c r="Z41" i="26" s="1"/>
  <c r="Z94" i="26" a="1"/>
  <c r="Z94" i="26" s="1"/>
  <c r="Z110" i="26" a="1"/>
  <c r="Z110" i="26" s="1"/>
  <c r="AA126" i="26" a="1"/>
  <c r="AA126" i="26" s="1"/>
  <c r="Z24" i="26" a="1"/>
  <c r="Z24" i="26" s="1"/>
  <c r="AA104" i="26" a="1"/>
  <c r="AA104" i="26" s="1"/>
  <c r="Z104" i="26" a="1"/>
  <c r="Z104" i="26" s="1"/>
  <c r="AA58" i="26" a="1"/>
  <c r="AA58" i="26" s="1"/>
  <c r="Z58" i="26" a="1"/>
  <c r="Z58" i="26" s="1"/>
  <c r="Y58" i="26" a="1"/>
  <c r="Y58" i="26" s="1"/>
  <c r="R150" i="26"/>
  <c r="R111" i="26"/>
  <c r="R99" i="26"/>
  <c r="AA120" i="26" a="1"/>
  <c r="AA120" i="26" s="1"/>
  <c r="Y120" i="26" a="1"/>
  <c r="Y120" i="26" s="1"/>
  <c r="Z120" i="26" a="1"/>
  <c r="Z120" i="26" s="1"/>
  <c r="AA83" i="26" a="1"/>
  <c r="AA83" i="26" s="1"/>
  <c r="R126" i="26"/>
  <c r="Z63" i="26" a="1"/>
  <c r="Z63" i="26" s="1"/>
  <c r="Y87" i="26" a="1"/>
  <c r="Y87" i="26" s="1"/>
  <c r="R151" i="26"/>
  <c r="R146" i="26"/>
  <c r="Y33" i="26" a="1"/>
  <c r="Y33" i="26" s="1"/>
  <c r="AA33" i="26" a="1"/>
  <c r="AA33" i="26" s="1"/>
  <c r="R109" i="26"/>
  <c r="R78" i="26"/>
  <c r="R94" i="26"/>
  <c r="AA47" i="26" a="1"/>
  <c r="AA47" i="26" s="1"/>
  <c r="Y47" i="26" a="1"/>
  <c r="Y47" i="26" s="1"/>
  <c r="Z152" i="26" a="1"/>
  <c r="Z152" i="26" s="1"/>
  <c r="Y152" i="26" a="1"/>
  <c r="Y152" i="26" s="1"/>
  <c r="AA34" i="26" a="1"/>
  <c r="AA34" i="26" s="1"/>
  <c r="Z98" i="26" a="1"/>
  <c r="Z98" i="26" s="1"/>
  <c r="Y98" i="26" a="1"/>
  <c r="Y98" i="26" s="1"/>
  <c r="R55" i="26"/>
  <c r="Y111" i="26" a="1"/>
  <c r="Y111" i="26" s="1"/>
  <c r="Y99" i="26" a="1"/>
  <c r="Y99" i="26" s="1"/>
  <c r="Z99" i="26" a="1"/>
  <c r="Z99" i="26" s="1"/>
  <c r="Z28" i="26" a="1"/>
  <c r="Z28" i="26" s="1"/>
  <c r="Z68" i="26" a="1"/>
  <c r="Z68" i="26" s="1"/>
  <c r="AA68" i="26" a="1"/>
  <c r="AA68" i="26" s="1"/>
  <c r="Y68" i="26" a="1"/>
  <c r="Y68" i="26" s="1"/>
  <c r="AA42" i="26" a="1"/>
  <c r="AA42" i="26" s="1"/>
  <c r="Z42" i="26" a="1"/>
  <c r="Z42" i="26" s="1"/>
  <c r="Y130" i="26" a="1"/>
  <c r="Y130" i="26" s="1"/>
  <c r="AA130" i="26" a="1"/>
  <c r="AA130" i="26" s="1"/>
  <c r="Y131" i="26" a="1"/>
  <c r="Y131" i="26" s="1"/>
  <c r="AA131" i="26" a="1"/>
  <c r="AA131" i="26" s="1"/>
  <c r="Z151" i="26" a="1"/>
  <c r="Z151" i="26" s="1"/>
  <c r="Y151" i="26" a="1"/>
  <c r="Y151" i="26" s="1"/>
  <c r="AA152" i="26" a="1"/>
  <c r="AA152" i="26" s="1"/>
  <c r="Y34" i="26" a="1"/>
  <c r="Y34" i="26" s="1"/>
  <c r="Z83" i="26" a="1"/>
  <c r="Z83" i="26" s="1"/>
  <c r="Y66" i="26" a="1"/>
  <c r="Y66" i="26" s="1"/>
  <c r="Z74" i="26" a="1"/>
  <c r="Z74" i="26" s="1"/>
  <c r="AA98" i="26" a="1"/>
  <c r="AA98" i="26" s="1"/>
  <c r="Z93" i="26" a="1"/>
  <c r="Z93" i="26" s="1"/>
  <c r="AA94" i="26" a="1"/>
  <c r="AA94" i="26" s="1"/>
  <c r="AA37" i="26" a="1"/>
  <c r="AA37" i="26" s="1"/>
  <c r="AA110" i="26" a="1"/>
  <c r="AA110" i="26" s="1"/>
  <c r="Y81" i="26" a="1"/>
  <c r="Y81" i="26" s="1"/>
  <c r="Y126" i="26" a="1"/>
  <c r="Y126" i="26" s="1"/>
  <c r="Z157" i="26" a="1"/>
  <c r="Z157" i="26" s="1"/>
  <c r="Z45" i="26" a="1"/>
  <c r="Z45" i="26" s="1"/>
  <c r="Y53" i="26" a="1"/>
  <c r="Y53" i="26" s="1"/>
  <c r="Y137" i="26" a="1"/>
  <c r="Y137" i="26" s="1"/>
  <c r="R65" i="26"/>
  <c r="R61" i="26"/>
  <c r="R30" i="26"/>
  <c r="R102" i="26"/>
  <c r="R140" i="26"/>
  <c r="R143" i="26"/>
  <c r="R159" i="26"/>
  <c r="R131" i="26"/>
  <c r="R138" i="26"/>
  <c r="Z72" i="26" a="1"/>
  <c r="Z72" i="26" s="1"/>
  <c r="Y41" i="26" a="1"/>
  <c r="Y41" i="26" s="1"/>
  <c r="Y42" i="26" a="1"/>
  <c r="Y42" i="26" s="1"/>
  <c r="Y149" i="26" a="1"/>
  <c r="Y149" i="26" s="1"/>
  <c r="Z70" i="26" a="1"/>
  <c r="Z70" i="26" s="1"/>
  <c r="Y80" i="26" a="1"/>
  <c r="Y80" i="26" s="1"/>
  <c r="Y93" i="26" a="1"/>
  <c r="Y93" i="26" s="1"/>
  <c r="Z37" i="26" a="1"/>
  <c r="Z37" i="26" s="1"/>
  <c r="AA81" i="26" a="1"/>
  <c r="AA81" i="26" s="1"/>
  <c r="Z126" i="26" a="1"/>
  <c r="Z126" i="26" s="1"/>
  <c r="Y157" i="26" a="1"/>
  <c r="Y157" i="26" s="1"/>
  <c r="AA45" i="26" a="1"/>
  <c r="AA45" i="26" s="1"/>
  <c r="Z53" i="26" a="1"/>
  <c r="Z53" i="26" s="1"/>
  <c r="Z137" i="26" a="1"/>
  <c r="Z137" i="26" s="1"/>
  <c r="Y88" i="26" a="1"/>
  <c r="Y88" i="26" s="1"/>
  <c r="R74" i="26"/>
  <c r="AA82" i="26" a="1"/>
  <c r="AA82" i="26" s="1"/>
  <c r="R63" i="26"/>
  <c r="Z119" i="26" a="1"/>
  <c r="Z119" i="26" s="1"/>
  <c r="Y119" i="26" a="1"/>
  <c r="Y119" i="26" s="1"/>
  <c r="R114" i="26"/>
  <c r="R36" i="26"/>
  <c r="AA72" i="26" a="1"/>
  <c r="AA72" i="26" s="1"/>
  <c r="AA149" i="26" a="1"/>
  <c r="AA149" i="26" s="1"/>
  <c r="Z106" i="26" a="1"/>
  <c r="Z106" i="26" s="1"/>
  <c r="Y39" i="26" a="1"/>
  <c r="Y39" i="26" s="1"/>
  <c r="R129" i="26"/>
  <c r="R37" i="26"/>
  <c r="R53" i="26"/>
  <c r="R155" i="26"/>
  <c r="R54" i="26"/>
  <c r="R86" i="26"/>
  <c r="R127" i="26"/>
  <c r="R27" i="26"/>
  <c r="AL9" i="26" a="1"/>
  <c r="AL9" i="26" s="1"/>
  <c r="S9" i="26"/>
  <c r="AK9" i="26" a="1"/>
  <c r="AK9" i="26" s="1"/>
  <c r="I7" i="3"/>
  <c r="P7" i="3"/>
  <c r="O7" i="3"/>
  <c r="L7" i="3"/>
  <c r="AK23" i="23"/>
  <c r="AL23" i="23" s="1" a="1"/>
  <c r="AL23" i="23" s="1"/>
  <c r="AM10" i="23" s="1"/>
  <c r="AK55" i="23"/>
  <c r="AL55" i="23" s="1" a="1"/>
  <c r="AL55" i="23" s="1"/>
  <c r="AK54" i="23"/>
  <c r="AL54" i="23" s="1" a="1"/>
  <c r="AL54" i="23" s="1"/>
  <c r="AK53" i="23"/>
  <c r="AL53" i="23" s="1" a="1"/>
  <c r="AL53" i="23" s="1"/>
  <c r="BY61" i="23"/>
  <c r="AM38" i="23"/>
  <c r="CI61" i="23"/>
  <c r="AM48" i="23"/>
  <c r="BS61" i="23"/>
  <c r="AM32" i="23"/>
  <c r="BC61" i="23"/>
  <c r="AM16" i="23"/>
  <c r="CO61" i="23"/>
  <c r="AM54" i="23"/>
  <c r="BW61" i="23"/>
  <c r="AM36" i="23"/>
  <c r="AM47" i="23"/>
  <c r="CH61" i="23"/>
  <c r="AM31" i="23"/>
  <c r="BR61" i="23"/>
  <c r="BB61" i="23"/>
  <c r="AM15" i="23"/>
  <c r="BZ61" i="23"/>
  <c r="AM39" i="23"/>
  <c r="BH61" i="23"/>
  <c r="AM21" i="23"/>
  <c r="AM19" i="23"/>
  <c r="BF61" i="23"/>
  <c r="BD61" i="23"/>
  <c r="AM17" i="23"/>
  <c r="CG61" i="23"/>
  <c r="AM46" i="23"/>
  <c r="BQ61" i="23"/>
  <c r="AM30" i="23"/>
  <c r="BA61" i="23"/>
  <c r="BI61" i="23"/>
  <c r="BG61" i="23"/>
  <c r="AM20" i="23"/>
  <c r="BE61" i="23"/>
  <c r="AM18" i="23"/>
  <c r="CF61" i="23"/>
  <c r="AM45" i="23"/>
  <c r="BP61" i="23"/>
  <c r="AM29" i="23"/>
  <c r="AZ61" i="23"/>
  <c r="AM13" i="23"/>
  <c r="CR61" i="23"/>
  <c r="CN61" i="23"/>
  <c r="AM53" i="23"/>
  <c r="CM61" i="23"/>
  <c r="AM52" i="23"/>
  <c r="BV61" i="23"/>
  <c r="AM35" i="23"/>
  <c r="BU61" i="23"/>
  <c r="AM34" i="23"/>
  <c r="AM49" i="23"/>
  <c r="CJ61" i="23"/>
  <c r="CE61" i="23"/>
  <c r="AM44" i="23"/>
  <c r="BO61" i="23"/>
  <c r="AM28" i="23"/>
  <c r="AY61" i="23"/>
  <c r="AM12" i="23"/>
  <c r="BJ61" i="23"/>
  <c r="AM23" i="23"/>
  <c r="AM37" i="23"/>
  <c r="BX61" i="23"/>
  <c r="AM51" i="23"/>
  <c r="CL61" i="23"/>
  <c r="CK61" i="23"/>
  <c r="AM50" i="23"/>
  <c r="BT61" i="23"/>
  <c r="AM33" i="23"/>
  <c r="CD61" i="23"/>
  <c r="AM43" i="23"/>
  <c r="BN61" i="23"/>
  <c r="AM27" i="23"/>
  <c r="AX61" i="23"/>
  <c r="AM11" i="23"/>
  <c r="CC61" i="23"/>
  <c r="AM42" i="23"/>
  <c r="BM61" i="23"/>
  <c r="AM26" i="23"/>
  <c r="AW61" i="23"/>
  <c r="CB61" i="23"/>
  <c r="AM41" i="23"/>
  <c r="BL61" i="23"/>
  <c r="AM25" i="23"/>
  <c r="AV61" i="23"/>
  <c r="AM9" i="23"/>
  <c r="CA61" i="23"/>
  <c r="AM40" i="23"/>
  <c r="BK61" i="23"/>
  <c r="AM24" i="23"/>
  <c r="AU61" i="23"/>
  <c r="AT61" i="23"/>
  <c r="T13" i="3"/>
  <c r="T12" i="3"/>
  <c r="C9" i="23"/>
  <c r="C8" i="23"/>
  <c r="Q56" i="23"/>
  <c r="N56" i="23"/>
  <c r="M56" i="23"/>
  <c r="L56" i="23"/>
  <c r="Q55" i="23"/>
  <c r="N55" i="23"/>
  <c r="M55" i="23"/>
  <c r="L55" i="23"/>
  <c r="Q54" i="23"/>
  <c r="N54" i="23"/>
  <c r="M54" i="23"/>
  <c r="L54" i="23"/>
  <c r="Q53" i="23"/>
  <c r="N53" i="23"/>
  <c r="M53" i="23"/>
  <c r="L53" i="23"/>
  <c r="Q52" i="23"/>
  <c r="N52" i="23"/>
  <c r="M52" i="23"/>
  <c r="L52" i="23"/>
  <c r="Q51" i="23"/>
  <c r="N51" i="23"/>
  <c r="M51" i="23"/>
  <c r="L51" i="23"/>
  <c r="Q50" i="23"/>
  <c r="N50" i="23"/>
  <c r="M50" i="23"/>
  <c r="L50" i="23"/>
  <c r="Q49" i="23"/>
  <c r="N49" i="23"/>
  <c r="M49" i="23"/>
  <c r="L49" i="23"/>
  <c r="Q48" i="23"/>
  <c r="N48" i="23"/>
  <c r="M48" i="23"/>
  <c r="L48" i="23"/>
  <c r="Q47" i="23"/>
  <c r="N47" i="23"/>
  <c r="M47" i="23"/>
  <c r="L47" i="23"/>
  <c r="Q46" i="23"/>
  <c r="N46" i="23"/>
  <c r="M46" i="23"/>
  <c r="L46" i="23"/>
  <c r="Q45" i="23"/>
  <c r="N45" i="23"/>
  <c r="M45" i="23"/>
  <c r="L45" i="23"/>
  <c r="Q44" i="23"/>
  <c r="N44" i="23"/>
  <c r="M44" i="23"/>
  <c r="L44" i="23"/>
  <c r="Q43" i="23"/>
  <c r="N43" i="23"/>
  <c r="M43" i="23"/>
  <c r="L43" i="23"/>
  <c r="Q42" i="23"/>
  <c r="N42" i="23"/>
  <c r="M42" i="23"/>
  <c r="L42" i="23"/>
  <c r="Q41" i="23"/>
  <c r="N41" i="23"/>
  <c r="M41" i="23"/>
  <c r="L41" i="23"/>
  <c r="Q40" i="23"/>
  <c r="N40" i="23"/>
  <c r="M40" i="23"/>
  <c r="L40" i="23"/>
  <c r="Q39" i="23"/>
  <c r="N39" i="23"/>
  <c r="M39" i="23"/>
  <c r="L39" i="23"/>
  <c r="Q38" i="23"/>
  <c r="N38" i="23"/>
  <c r="M38" i="23"/>
  <c r="L38" i="23"/>
  <c r="Q37" i="23"/>
  <c r="N37" i="23"/>
  <c r="M37" i="23"/>
  <c r="L37" i="23"/>
  <c r="Q36" i="23"/>
  <c r="N36" i="23"/>
  <c r="M36" i="23"/>
  <c r="L36" i="23"/>
  <c r="Q35" i="23"/>
  <c r="N35" i="23"/>
  <c r="M35" i="23"/>
  <c r="L35" i="23"/>
  <c r="Q34" i="23"/>
  <c r="N34" i="23"/>
  <c r="M34" i="23"/>
  <c r="L34" i="23"/>
  <c r="Q33" i="23"/>
  <c r="N33" i="23"/>
  <c r="M33" i="23"/>
  <c r="L33" i="23"/>
  <c r="Q32" i="23"/>
  <c r="N32" i="23"/>
  <c r="M32" i="23"/>
  <c r="L32" i="23"/>
  <c r="Q31" i="23"/>
  <c r="N31" i="23"/>
  <c r="M31" i="23"/>
  <c r="L31" i="23"/>
  <c r="Q30" i="23"/>
  <c r="N30" i="23"/>
  <c r="M30" i="23"/>
  <c r="L30" i="23"/>
  <c r="Q29" i="23"/>
  <c r="N29" i="23"/>
  <c r="M29" i="23"/>
  <c r="L29" i="23"/>
  <c r="Q28" i="23"/>
  <c r="N28" i="23"/>
  <c r="M28" i="23"/>
  <c r="L28" i="23"/>
  <c r="Q27" i="23"/>
  <c r="N27" i="23"/>
  <c r="M27" i="23"/>
  <c r="L27" i="23"/>
  <c r="Q26" i="23"/>
  <c r="N26" i="23"/>
  <c r="M26" i="23"/>
  <c r="L26" i="23"/>
  <c r="Q25" i="23"/>
  <c r="N25" i="23"/>
  <c r="M25" i="23"/>
  <c r="L25" i="23"/>
  <c r="Q24" i="23"/>
  <c r="N24" i="23"/>
  <c r="M24" i="23"/>
  <c r="L24" i="23"/>
  <c r="Q23" i="23"/>
  <c r="N23" i="23"/>
  <c r="M23" i="23"/>
  <c r="L23" i="23"/>
  <c r="Q22" i="23"/>
  <c r="N22" i="23"/>
  <c r="M22" i="23"/>
  <c r="L22" i="23"/>
  <c r="Q21" i="23"/>
  <c r="N21" i="23"/>
  <c r="M21" i="23"/>
  <c r="L21" i="23"/>
  <c r="Q20" i="23"/>
  <c r="N20" i="23"/>
  <c r="M20" i="23"/>
  <c r="L20" i="23"/>
  <c r="Q19" i="23"/>
  <c r="N19" i="23"/>
  <c r="M19" i="23"/>
  <c r="L19" i="23"/>
  <c r="Q18" i="23"/>
  <c r="N18" i="23"/>
  <c r="M18" i="23"/>
  <c r="L18" i="23"/>
  <c r="Q17" i="23"/>
  <c r="N17" i="23"/>
  <c r="M17" i="23"/>
  <c r="L17" i="23"/>
  <c r="Q16" i="23"/>
  <c r="N16" i="23"/>
  <c r="M16" i="23"/>
  <c r="L16" i="23"/>
  <c r="Q15" i="23"/>
  <c r="N15" i="23"/>
  <c r="M15" i="23"/>
  <c r="L15" i="23"/>
  <c r="Q14" i="23"/>
  <c r="N14" i="23"/>
  <c r="M14" i="23"/>
  <c r="L14" i="23"/>
  <c r="Q13" i="23"/>
  <c r="N13" i="23"/>
  <c r="M13" i="23"/>
  <c r="L13" i="23"/>
  <c r="Q12" i="23"/>
  <c r="N12" i="23"/>
  <c r="M12" i="23"/>
  <c r="L12" i="23"/>
  <c r="Q11" i="23"/>
  <c r="N11" i="23"/>
  <c r="M11" i="23"/>
  <c r="L11" i="23"/>
  <c r="Q10" i="23"/>
  <c r="N10" i="23"/>
  <c r="M10" i="23"/>
  <c r="L10" i="23"/>
  <c r="Q9" i="23"/>
  <c r="N9" i="23"/>
  <c r="M9" i="23"/>
  <c r="Q8" i="23"/>
  <c r="N8" i="23"/>
  <c r="M8" i="23"/>
  <c r="Q7" i="23"/>
  <c r="N7" i="23"/>
  <c r="P7" i="23" s="1"/>
  <c r="M7" i="23"/>
  <c r="O7" i="23" s="1"/>
  <c r="G142" i="12" l="1"/>
  <c r="F142" i="12"/>
  <c r="H142" i="12" s="1"/>
  <c r="G153" i="12"/>
  <c r="F153" i="12"/>
  <c r="H153" i="12" s="1"/>
  <c r="F147" i="12"/>
  <c r="H147" i="12" s="1"/>
  <c r="G147" i="12"/>
  <c r="G143" i="12"/>
  <c r="F143" i="12"/>
  <c r="H143" i="12" s="1"/>
  <c r="G137" i="12"/>
  <c r="F137" i="12"/>
  <c r="H137" i="12" s="1"/>
  <c r="G135" i="12"/>
  <c r="F135" i="12"/>
  <c r="H135" i="12" s="1"/>
  <c r="G136" i="12"/>
  <c r="F136" i="12"/>
  <c r="H136" i="12" s="1"/>
  <c r="G145" i="12"/>
  <c r="F145" i="12"/>
  <c r="H145" i="12" s="1"/>
  <c r="G157" i="12"/>
  <c r="F157" i="12"/>
  <c r="H157" i="12" s="1"/>
  <c r="G132" i="12"/>
  <c r="F132" i="12"/>
  <c r="H132" i="12" s="1"/>
  <c r="E48" i="2"/>
  <c r="E49" i="2" s="1"/>
  <c r="G133" i="12"/>
  <c r="F133" i="12"/>
  <c r="H133" i="12" s="1"/>
  <c r="F131" i="12"/>
  <c r="H131" i="12" s="1"/>
  <c r="G131" i="12"/>
  <c r="F138" i="12"/>
  <c r="H138" i="12" s="1"/>
  <c r="G138" i="12"/>
  <c r="F156" i="12"/>
  <c r="H156" i="12" s="1"/>
  <c r="G156" i="12"/>
  <c r="G144" i="12"/>
  <c r="F144" i="12"/>
  <c r="H144" i="12" s="1"/>
  <c r="G149" i="12"/>
  <c r="F149" i="12"/>
  <c r="H149" i="12" s="1"/>
  <c r="G141" i="12"/>
  <c r="F141" i="12"/>
  <c r="H141" i="12" s="1"/>
  <c r="F154" i="12"/>
  <c r="H154" i="12" s="1"/>
  <c r="G154" i="12"/>
  <c r="G158" i="12"/>
  <c r="F158" i="12"/>
  <c r="H158" i="12" s="1"/>
  <c r="F148" i="12"/>
  <c r="H148" i="12" s="1"/>
  <c r="G148" i="12"/>
  <c r="F146" i="12"/>
  <c r="H146" i="12" s="1"/>
  <c r="G146" i="12"/>
  <c r="F155" i="12"/>
  <c r="H155" i="12" s="1"/>
  <c r="G155" i="12"/>
  <c r="F134" i="12"/>
  <c r="H134" i="12" s="1"/>
  <c r="G134" i="12"/>
  <c r="F150" i="12"/>
  <c r="H150" i="12" s="1"/>
  <c r="G150" i="12"/>
  <c r="F130" i="12"/>
  <c r="H130" i="12" s="1"/>
  <c r="G130" i="12"/>
  <c r="F140" i="12"/>
  <c r="H140" i="12" s="1"/>
  <c r="G140" i="12"/>
  <c r="G152" i="12"/>
  <c r="F152" i="12"/>
  <c r="H152" i="12" s="1"/>
  <c r="F139" i="12"/>
  <c r="H139" i="12" s="1"/>
  <c r="G139" i="12"/>
  <c r="G151" i="12"/>
  <c r="F151" i="12"/>
  <c r="H151" i="12" s="1"/>
  <c r="R14" i="26"/>
  <c r="R17" i="26"/>
  <c r="O15" i="23"/>
  <c r="P15" i="23"/>
  <c r="O55" i="23"/>
  <c r="P55" i="23"/>
  <c r="O47" i="23"/>
  <c r="P47" i="23"/>
  <c r="O27" i="23"/>
  <c r="P27" i="23"/>
  <c r="P52" i="23"/>
  <c r="O52" i="23"/>
  <c r="P11" i="23"/>
  <c r="O11" i="23"/>
  <c r="O23" i="23"/>
  <c r="P23" i="23"/>
  <c r="P31" i="23"/>
  <c r="O31" i="23"/>
  <c r="O39" i="23"/>
  <c r="P39" i="23"/>
  <c r="O51" i="23"/>
  <c r="P51" i="23"/>
  <c r="P20" i="23"/>
  <c r="O20" i="23"/>
  <c r="O56" i="23"/>
  <c r="P56" i="23"/>
  <c r="P12" i="23"/>
  <c r="O12" i="23"/>
  <c r="AA12" i="23" s="1"/>
  <c r="P24" i="23"/>
  <c r="O24" i="23"/>
  <c r="P32" i="23"/>
  <c r="O32" i="23"/>
  <c r="P40" i="23"/>
  <c r="O40" i="23"/>
  <c r="P48" i="23"/>
  <c r="O48" i="23"/>
  <c r="O35" i="23"/>
  <c r="P35" i="23"/>
  <c r="O8" i="23"/>
  <c r="AA8" i="23" s="1"/>
  <c r="P8" i="23"/>
  <c r="D20" i="23"/>
  <c r="C21" i="23"/>
  <c r="C22" i="23"/>
  <c r="C23" i="23"/>
  <c r="C24" i="23"/>
  <c r="D23" i="23"/>
  <c r="C25" i="23"/>
  <c r="C28" i="23"/>
  <c r="C26" i="23"/>
  <c r="D22" i="23"/>
  <c r="C27" i="23"/>
  <c r="D24" i="23"/>
  <c r="C29" i="23"/>
  <c r="D27" i="23"/>
  <c r="D25" i="23"/>
  <c r="E100" i="2" s="1"/>
  <c r="H100" i="2" s="1"/>
  <c r="C30" i="23"/>
  <c r="D26" i="23"/>
  <c r="C20" i="23"/>
  <c r="D30" i="23"/>
  <c r="D28" i="23"/>
  <c r="D29" i="23"/>
  <c r="D21" i="23"/>
  <c r="P16" i="23"/>
  <c r="O16" i="23"/>
  <c r="P28" i="23"/>
  <c r="O28" i="23"/>
  <c r="P36" i="23"/>
  <c r="O36" i="23"/>
  <c r="P44" i="23"/>
  <c r="O44" i="23"/>
  <c r="P9" i="23"/>
  <c r="O9" i="23"/>
  <c r="O13" i="23"/>
  <c r="P13" i="23"/>
  <c r="O17" i="23"/>
  <c r="P17" i="23"/>
  <c r="P21" i="23"/>
  <c r="O21" i="23"/>
  <c r="O25" i="23"/>
  <c r="P25" i="23"/>
  <c r="P29" i="23"/>
  <c r="O29" i="23"/>
  <c r="P33" i="23"/>
  <c r="O33" i="23"/>
  <c r="P37" i="23"/>
  <c r="O37" i="23"/>
  <c r="AA37" i="23" s="1"/>
  <c r="P41" i="23"/>
  <c r="O41" i="23"/>
  <c r="AA41" i="23" s="1"/>
  <c r="P45" i="23"/>
  <c r="O45" i="23"/>
  <c r="AA45" i="23" s="1"/>
  <c r="O49" i="23"/>
  <c r="P49" i="23"/>
  <c r="P53" i="23"/>
  <c r="AB53" i="23" s="1"/>
  <c r="O53" i="23"/>
  <c r="P19" i="23"/>
  <c r="O19" i="23"/>
  <c r="O14" i="23"/>
  <c r="AA14" i="23" s="1"/>
  <c r="P14" i="23"/>
  <c r="P30" i="23"/>
  <c r="O30" i="23"/>
  <c r="O42" i="23"/>
  <c r="P42" i="23"/>
  <c r="O54" i="23"/>
  <c r="P54" i="23"/>
  <c r="O43" i="23"/>
  <c r="P43" i="23"/>
  <c r="O10" i="23"/>
  <c r="P10" i="23"/>
  <c r="P22" i="23"/>
  <c r="O22" i="23"/>
  <c r="O34" i="23"/>
  <c r="P34" i="23"/>
  <c r="O46" i="23"/>
  <c r="P46" i="23"/>
  <c r="O18" i="23"/>
  <c r="P18" i="23"/>
  <c r="P26" i="23"/>
  <c r="O26" i="23"/>
  <c r="P38" i="23"/>
  <c r="O38" i="23"/>
  <c r="O50" i="23"/>
  <c r="P50" i="23"/>
  <c r="AM22" i="23"/>
  <c r="AM14" i="23"/>
  <c r="T9" i="30"/>
  <c r="R16" i="26"/>
  <c r="M9" i="26"/>
  <c r="Z16" i="26" a="1"/>
  <c r="Z16" i="26" s="1"/>
  <c r="AA16" i="26" a="1"/>
  <c r="AA16" i="26" s="1"/>
  <c r="Y16" i="26" a="1"/>
  <c r="Y16" i="26" s="1"/>
  <c r="Q9" i="26"/>
  <c r="T9" i="26"/>
  <c r="K9" i="26"/>
  <c r="T7" i="3"/>
  <c r="AM8" i="23"/>
  <c r="AM7" i="23"/>
  <c r="AC7" i="23" a="1"/>
  <c r="AC7" i="23" s="1"/>
  <c r="AF7" i="23" a="1"/>
  <c r="AF7" i="23" s="1"/>
  <c r="AC51" i="23" a="1"/>
  <c r="AC51" i="23" s="1"/>
  <c r="AF51" i="23" a="1"/>
  <c r="AF51" i="23" s="1"/>
  <c r="AC36" i="23" a="1"/>
  <c r="AC36" i="23" s="1"/>
  <c r="AF36" i="23" a="1"/>
  <c r="AF36" i="23" s="1"/>
  <c r="AF44" i="23" a="1"/>
  <c r="AF44" i="23" s="1"/>
  <c r="AC44" i="23" a="1"/>
  <c r="AC44" i="23" s="1"/>
  <c r="T52" i="23" a="1"/>
  <c r="T52" i="23" s="1"/>
  <c r="AC52" i="23" a="1"/>
  <c r="AC52" i="23" s="1"/>
  <c r="AF52" i="23" a="1"/>
  <c r="AF52" i="23" s="1"/>
  <c r="AG7" i="23"/>
  <c r="V7" i="23"/>
  <c r="AD7" i="23"/>
  <c r="U7" i="23"/>
  <c r="T7" i="23" a="1"/>
  <c r="T7" i="23" s="1"/>
  <c r="R7" i="23"/>
  <c r="AE7" i="23"/>
  <c r="Y7" i="23"/>
  <c r="X7" i="23"/>
  <c r="W7" i="23" a="1"/>
  <c r="W7" i="23" s="1"/>
  <c r="AH7" i="23"/>
  <c r="R11" i="23"/>
  <c r="S11" i="23" s="1"/>
  <c r="AC35" i="23" a="1"/>
  <c r="AC35" i="23" s="1"/>
  <c r="AF35" i="23" a="1"/>
  <c r="AF35" i="23" s="1"/>
  <c r="AF55" i="23" a="1"/>
  <c r="AF55" i="23" s="1"/>
  <c r="AC55" i="23" a="1"/>
  <c r="AC55" i="23" s="1"/>
  <c r="T33" i="23" a="1"/>
  <c r="T33" i="23" s="1"/>
  <c r="AF33" i="23" a="1"/>
  <c r="AF33" i="23" s="1"/>
  <c r="AC33" i="23" a="1"/>
  <c r="AC33" i="23" s="1"/>
  <c r="AF47" i="23" a="1"/>
  <c r="AF47" i="23" s="1"/>
  <c r="AC47" i="23" a="1"/>
  <c r="AC47" i="23" s="1"/>
  <c r="R13" i="23"/>
  <c r="W13" i="23" s="1" a="1"/>
  <c r="W13" i="23" s="1"/>
  <c r="R37" i="23"/>
  <c r="S37" i="23" s="1"/>
  <c r="AC37" i="23" a="1"/>
  <c r="AC37" i="23" s="1"/>
  <c r="AF37" i="23" a="1"/>
  <c r="AF37" i="23" s="1"/>
  <c r="R32" i="23"/>
  <c r="AF32" i="23" s="1" a="1"/>
  <c r="AF32" i="23" s="1"/>
  <c r="AC48" i="23" a="1"/>
  <c r="AC48" i="23" s="1"/>
  <c r="AF48" i="23" a="1"/>
  <c r="AF48" i="23" s="1"/>
  <c r="T41" i="23" a="1"/>
  <c r="T41" i="23" s="1"/>
  <c r="AF41" i="23" a="1"/>
  <c r="AF41" i="23" s="1"/>
  <c r="AC41" i="23" a="1"/>
  <c r="AC41" i="23" s="1"/>
  <c r="AC43" i="23" a="1"/>
  <c r="AC43" i="23" s="1"/>
  <c r="AF43" i="23" a="1"/>
  <c r="AF43" i="23" s="1"/>
  <c r="R40" i="23"/>
  <c r="S40" i="23" s="1"/>
  <c r="AF40" i="23" a="1"/>
  <c r="AF40" i="23" s="1"/>
  <c r="AC40" i="23" a="1"/>
  <c r="AC40" i="23" s="1"/>
  <c r="T56" i="23" a="1"/>
  <c r="T56" i="23" s="1"/>
  <c r="AF56" i="23" a="1"/>
  <c r="AF56" i="23" s="1"/>
  <c r="AC56" i="23" a="1"/>
  <c r="AC56" i="23" s="1"/>
  <c r="R21" i="23"/>
  <c r="T21" i="23" s="1" a="1"/>
  <c r="T21" i="23" s="1"/>
  <c r="R45" i="23"/>
  <c r="S45" i="23" s="1"/>
  <c r="AF45" i="23" a="1"/>
  <c r="AF45" i="23" s="1"/>
  <c r="AC45" i="23" a="1"/>
  <c r="AC45" i="23" s="1"/>
  <c r="T50" i="23" a="1"/>
  <c r="T50" i="23" s="1"/>
  <c r="AC50" i="23" a="1"/>
  <c r="AC50" i="23" s="1"/>
  <c r="AF50" i="23" a="1"/>
  <c r="AF50" i="23" s="1"/>
  <c r="AA53" i="23"/>
  <c r="R29" i="23"/>
  <c r="T29" i="23" s="1" a="1"/>
  <c r="T29" i="23" s="1"/>
  <c r="R49" i="23"/>
  <c r="S49" i="23" s="1"/>
  <c r="AC49" i="23" a="1"/>
  <c r="AC49" i="23" s="1"/>
  <c r="AF49" i="23" a="1"/>
  <c r="AF49" i="23" s="1"/>
  <c r="R18" i="23"/>
  <c r="W18" i="23" s="1" a="1"/>
  <c r="W18" i="23" s="1"/>
  <c r="AC34" i="23" a="1"/>
  <c r="AC34" i="23" s="1"/>
  <c r="AF34" i="23" a="1"/>
  <c r="AF34" i="23" s="1"/>
  <c r="T38" i="23" a="1"/>
  <c r="T38" i="23" s="1"/>
  <c r="AC38" i="23" a="1"/>
  <c r="AC38" i="23" s="1"/>
  <c r="AF38" i="23" a="1"/>
  <c r="AF38" i="23" s="1"/>
  <c r="T42" i="23" a="1"/>
  <c r="T42" i="23" s="1"/>
  <c r="AF42" i="23" a="1"/>
  <c r="AF42" i="23" s="1"/>
  <c r="AC42" i="23" a="1"/>
  <c r="AC42" i="23" s="1"/>
  <c r="AF54" i="23" a="1"/>
  <c r="AF54" i="23" s="1"/>
  <c r="AC54" i="23" a="1"/>
  <c r="AC54" i="23" s="1"/>
  <c r="AF39" i="23" a="1"/>
  <c r="AF39" i="23" s="1"/>
  <c r="AC39" i="23" a="1"/>
  <c r="AC39" i="23" s="1"/>
  <c r="R25" i="23"/>
  <c r="T25" i="23" s="1" a="1"/>
  <c r="T25" i="23" s="1"/>
  <c r="T53" i="23" a="1"/>
  <c r="T53" i="23" s="1"/>
  <c r="AF53" i="23" a="1"/>
  <c r="AF53" i="23" s="1"/>
  <c r="AC53" i="23" a="1"/>
  <c r="AC53" i="23" s="1"/>
  <c r="T46" i="23" a="1"/>
  <c r="T46" i="23" s="1"/>
  <c r="AC46" i="23" a="1"/>
  <c r="AC46" i="23" s="1"/>
  <c r="AF46" i="23" a="1"/>
  <c r="AF46" i="23" s="1"/>
  <c r="T37" i="23" a="1"/>
  <c r="T37" i="23" s="1"/>
  <c r="R33" i="23"/>
  <c r="S33" i="23" s="1"/>
  <c r="R41" i="23"/>
  <c r="S41" i="23" s="1"/>
  <c r="T45" i="23" a="1"/>
  <c r="T45" i="23" s="1"/>
  <c r="T49" i="23" a="1"/>
  <c r="T49" i="23" s="1"/>
  <c r="R53" i="23"/>
  <c r="S53" i="23" s="1"/>
  <c r="U53" i="23" s="1"/>
  <c r="R16" i="23"/>
  <c r="W16" i="23" s="1" a="1"/>
  <c r="W16" i="23" s="1"/>
  <c r="W35" i="23" a="1"/>
  <c r="W35" i="23" s="1"/>
  <c r="W39" i="23" a="1"/>
  <c r="W39" i="23" s="1"/>
  <c r="W43" i="23" a="1"/>
  <c r="W43" i="23" s="1"/>
  <c r="W47" i="23" a="1"/>
  <c r="W47" i="23" s="1"/>
  <c r="W51" i="23" a="1"/>
  <c r="W51" i="23" s="1"/>
  <c r="W55" i="23" a="1"/>
  <c r="W55" i="23" s="1"/>
  <c r="W48" i="23" a="1"/>
  <c r="W48" i="23" s="1"/>
  <c r="R48" i="23"/>
  <c r="S48" i="23" s="1"/>
  <c r="R19" i="23"/>
  <c r="S19" i="23" s="1"/>
  <c r="R23" i="23"/>
  <c r="W23" i="23" s="1" a="1"/>
  <c r="W23" i="23" s="1"/>
  <c r="R27" i="23"/>
  <c r="W27" i="23" s="1" a="1"/>
  <c r="W27" i="23" s="1"/>
  <c r="R31" i="23"/>
  <c r="T31" i="23" s="1" a="1"/>
  <c r="T31" i="23" s="1"/>
  <c r="R35" i="23"/>
  <c r="S35" i="23" s="1"/>
  <c r="R39" i="23"/>
  <c r="S39" i="23" s="1"/>
  <c r="R43" i="23"/>
  <c r="S43" i="23" s="1"/>
  <c r="R47" i="23"/>
  <c r="S47" i="23" s="1"/>
  <c r="R51" i="23"/>
  <c r="S51" i="23" s="1"/>
  <c r="R55" i="23"/>
  <c r="S55" i="23" s="1"/>
  <c r="AN55" i="23" s="1"/>
  <c r="R10" i="23"/>
  <c r="S10" i="23" s="1"/>
  <c r="AD10" i="23" s="1"/>
  <c r="W44" i="23" a="1"/>
  <c r="W44" i="23" s="1"/>
  <c r="R44" i="23"/>
  <c r="S44" i="23" s="1"/>
  <c r="R56" i="23"/>
  <c r="S56" i="23" s="1"/>
  <c r="AN56" i="23" s="1"/>
  <c r="T48" i="23" a="1"/>
  <c r="T48" i="23" s="1"/>
  <c r="W36" i="23" a="1"/>
  <c r="W36" i="23" s="1"/>
  <c r="R20" i="23"/>
  <c r="W20" i="23" s="1" a="1"/>
  <c r="W20" i="23" s="1"/>
  <c r="T35" i="23" a="1"/>
  <c r="T35" i="23" s="1"/>
  <c r="T39" i="23" a="1"/>
  <c r="T39" i="23" s="1"/>
  <c r="T43" i="23" a="1"/>
  <c r="T43" i="23" s="1"/>
  <c r="T47" i="23" a="1"/>
  <c r="T47" i="23" s="1"/>
  <c r="T51" i="23" a="1"/>
  <c r="T51" i="23" s="1"/>
  <c r="T55" i="23" a="1"/>
  <c r="T55" i="23" s="1"/>
  <c r="R15" i="23"/>
  <c r="S15" i="23" s="1"/>
  <c r="T44" i="23" a="1"/>
  <c r="T44" i="23" s="1"/>
  <c r="R8" i="23"/>
  <c r="W8" i="23" s="1" a="1"/>
  <c r="W8" i="23" s="1"/>
  <c r="W34" i="23" a="1"/>
  <c r="W34" i="23" s="1"/>
  <c r="T36" i="23" a="1"/>
  <c r="T36" i="23" s="1"/>
  <c r="W52" i="23" a="1"/>
  <c r="W52" i="23" s="1"/>
  <c r="R28" i="23"/>
  <c r="T28" i="23" s="1" a="1"/>
  <c r="T28" i="23" s="1"/>
  <c r="R52" i="23"/>
  <c r="S52" i="23" s="1"/>
  <c r="AD52" i="23" s="1"/>
  <c r="W54" i="23" a="1"/>
  <c r="W54" i="23" s="1"/>
  <c r="R42" i="23"/>
  <c r="S42" i="23" s="1"/>
  <c r="T34" i="23" a="1"/>
  <c r="T34" i="23" s="1"/>
  <c r="T54" i="23" a="1"/>
  <c r="T54" i="23" s="1"/>
  <c r="W40" i="23" a="1"/>
  <c r="W40" i="23" s="1"/>
  <c r="W56" i="23" a="1"/>
  <c r="W56" i="23" s="1"/>
  <c r="R24" i="23"/>
  <c r="W24" i="23" s="1" a="1"/>
  <c r="W24" i="23" s="1"/>
  <c r="R36" i="23"/>
  <c r="S36" i="23" s="1"/>
  <c r="R9" i="23"/>
  <c r="S9" i="23" s="1"/>
  <c r="AD9" i="23" s="1"/>
  <c r="T40" i="23" a="1"/>
  <c r="T40" i="23" s="1"/>
  <c r="R14" i="23"/>
  <c r="T14" i="23" s="1" a="1"/>
  <c r="T14" i="23" s="1"/>
  <c r="W38" i="23" a="1"/>
  <c r="W38" i="23" s="1"/>
  <c r="W42" i="23" a="1"/>
  <c r="W42" i="23" s="1"/>
  <c r="W46" i="23" a="1"/>
  <c r="W46" i="23" s="1"/>
  <c r="W50" i="23" a="1"/>
  <c r="W50" i="23" s="1"/>
  <c r="R22" i="23"/>
  <c r="S22" i="23" s="1"/>
  <c r="AD22" i="23" s="1"/>
  <c r="R26" i="23"/>
  <c r="S26" i="23" s="1"/>
  <c r="R30" i="23"/>
  <c r="W30" i="23" s="1" a="1"/>
  <c r="W30" i="23" s="1"/>
  <c r="R34" i="23"/>
  <c r="S34" i="23" s="1"/>
  <c r="R38" i="23"/>
  <c r="S38" i="23" s="1"/>
  <c r="R46" i="23"/>
  <c r="S46" i="23" s="1"/>
  <c r="R50" i="23"/>
  <c r="S50" i="23" s="1"/>
  <c r="R54" i="23"/>
  <c r="S54" i="23" s="1"/>
  <c r="AG54" i="23" s="1"/>
  <c r="S7" i="23"/>
  <c r="R12" i="23"/>
  <c r="W12" i="23" s="1" a="1"/>
  <c r="W12" i="23" s="1"/>
  <c r="R17" i="23"/>
  <c r="AC17" i="23" s="1" a="1"/>
  <c r="AC17" i="23" s="1"/>
  <c r="W33" i="23" a="1"/>
  <c r="W33" i="23" s="1"/>
  <c r="W37" i="23" a="1"/>
  <c r="W37" i="23" s="1"/>
  <c r="W41" i="23" a="1"/>
  <c r="W41" i="23" s="1"/>
  <c r="W45" i="23" a="1"/>
  <c r="W45" i="23" s="1"/>
  <c r="W49" i="23" a="1"/>
  <c r="W49" i="23" s="1"/>
  <c r="W53" i="23" a="1"/>
  <c r="W53" i="23" s="1"/>
  <c r="R9" i="26" l="1"/>
  <c r="F48" i="2"/>
  <c r="F49" i="2" s="1"/>
  <c r="D41" i="27" s="1"/>
  <c r="E105" i="2"/>
  <c r="H105" i="2" s="1"/>
  <c r="E103" i="2"/>
  <c r="H103" i="2" s="1"/>
  <c r="AB12" i="23"/>
  <c r="E149" i="30" a="1"/>
  <c r="E149" i="30" s="1"/>
  <c r="E30" i="30" a="1"/>
  <c r="E30" i="30" s="1"/>
  <c r="E28" i="30" a="1"/>
  <c r="E28" i="30" s="1"/>
  <c r="E139" i="30" a="1"/>
  <c r="E139" i="30" s="1"/>
  <c r="E133" i="30" a="1"/>
  <c r="E133" i="30" s="1"/>
  <c r="E56" i="30" a="1"/>
  <c r="E56" i="30" s="1"/>
  <c r="E124" i="30" a="1"/>
  <c r="E124" i="30" s="1"/>
  <c r="E33" i="30" a="1"/>
  <c r="E33" i="30" s="1"/>
  <c r="E84" i="30" a="1"/>
  <c r="E84" i="30" s="1"/>
  <c r="E76" i="30" a="1"/>
  <c r="E76" i="30" s="1"/>
  <c r="E52" i="26" a="1"/>
  <c r="E52" i="26" s="1"/>
  <c r="E21" i="26" a="1"/>
  <c r="E21" i="26" s="1"/>
  <c r="E149" i="26" a="1"/>
  <c r="E149" i="26" s="1"/>
  <c r="E86" i="26" a="1"/>
  <c r="E86" i="26" s="1"/>
  <c r="E71" i="26" a="1"/>
  <c r="E71" i="26" s="1"/>
  <c r="E40" i="26" a="1"/>
  <c r="E40" i="26" s="1"/>
  <c r="E145" i="26" a="1"/>
  <c r="E145" i="26" s="1"/>
  <c r="E106" i="26" a="1"/>
  <c r="E106" i="26" s="1"/>
  <c r="E83" i="26" a="1"/>
  <c r="E83" i="26" s="1"/>
  <c r="E148" i="30" a="1"/>
  <c r="E148" i="30" s="1"/>
  <c r="E138" i="30" a="1"/>
  <c r="E138" i="30" s="1"/>
  <c r="E132" i="30" a="1"/>
  <c r="E132" i="30" s="1"/>
  <c r="E55" i="30" a="1"/>
  <c r="E55" i="30" s="1"/>
  <c r="E123" i="30" a="1"/>
  <c r="E123" i="30" s="1"/>
  <c r="E46" i="30" a="1"/>
  <c r="E46" i="30" s="1"/>
  <c r="E21" i="30" a="1"/>
  <c r="E21" i="30" s="1"/>
  <c r="E79" i="30" a="1"/>
  <c r="E79" i="30" s="1"/>
  <c r="E83" i="30" a="1"/>
  <c r="E83" i="30" s="1"/>
  <c r="E75" i="30" a="1"/>
  <c r="E75" i="30" s="1"/>
  <c r="E60" i="26" a="1"/>
  <c r="E60" i="26" s="1"/>
  <c r="E29" i="26" a="1"/>
  <c r="E29" i="26" s="1"/>
  <c r="E157" i="26" a="1"/>
  <c r="E157" i="26" s="1"/>
  <c r="E94" i="26" a="1"/>
  <c r="E94" i="26" s="1"/>
  <c r="E79" i="26" a="1"/>
  <c r="E79" i="26" s="1"/>
  <c r="E48" i="26" a="1"/>
  <c r="E48" i="26" s="1"/>
  <c r="E25" i="26" a="1"/>
  <c r="E25" i="26" s="1"/>
  <c r="E153" i="26" a="1"/>
  <c r="E153" i="26" s="1"/>
  <c r="E114" i="26" a="1"/>
  <c r="E114" i="26" s="1"/>
  <c r="E91" i="26" a="1"/>
  <c r="E91" i="26" s="1"/>
  <c r="E147" i="30" a="1"/>
  <c r="E147" i="30" s="1"/>
  <c r="E22" i="30" a="1"/>
  <c r="E22" i="30" s="1"/>
  <c r="E26" i="30" a="1"/>
  <c r="E26" i="30" s="1"/>
  <c r="E137" i="30" a="1"/>
  <c r="E137" i="30" s="1"/>
  <c r="E54" i="30" a="1"/>
  <c r="E54" i="30" s="1"/>
  <c r="E122" i="30" a="1"/>
  <c r="E122" i="30" s="1"/>
  <c r="E19" i="30" a="1"/>
  <c r="E19" i="30" s="1"/>
  <c r="E77" i="30" a="1"/>
  <c r="E77" i="30" s="1"/>
  <c r="E41" i="30" a="1"/>
  <c r="E41" i="30" s="1"/>
  <c r="E65" i="30" a="1"/>
  <c r="E65" i="30" s="1"/>
  <c r="E68" i="26" a="1"/>
  <c r="E68" i="26" s="1"/>
  <c r="E37" i="26" a="1"/>
  <c r="E37" i="26" s="1"/>
  <c r="E102" i="26" a="1"/>
  <c r="E102" i="26" s="1"/>
  <c r="E87" i="26" a="1"/>
  <c r="E87" i="26" s="1"/>
  <c r="E56" i="26" a="1"/>
  <c r="E56" i="26" s="1"/>
  <c r="E33" i="26" a="1"/>
  <c r="E33" i="26" s="1"/>
  <c r="E122" i="26" a="1"/>
  <c r="E122" i="26" s="1"/>
  <c r="E99" i="26" a="1"/>
  <c r="E99" i="26" s="1"/>
  <c r="E146" i="30" a="1"/>
  <c r="E146" i="30" s="1"/>
  <c r="E144" i="30" a="1"/>
  <c r="E144" i="30" s="1"/>
  <c r="E136" i="30" a="1"/>
  <c r="E136" i="30" s="1"/>
  <c r="E53" i="30" a="1"/>
  <c r="E53" i="30" s="1"/>
  <c r="E121" i="30" a="1"/>
  <c r="E121" i="30" s="1"/>
  <c r="E90" i="30" a="1"/>
  <c r="E90" i="30" s="1"/>
  <c r="E104" i="30" a="1"/>
  <c r="E104" i="30" s="1"/>
  <c r="E43" i="30" a="1"/>
  <c r="E43" i="30" s="1"/>
  <c r="E76" i="26" a="1"/>
  <c r="E76" i="26" s="1"/>
  <c r="E45" i="26" a="1"/>
  <c r="E45" i="26" s="1"/>
  <c r="E110" i="26" a="1"/>
  <c r="E110" i="26" s="1"/>
  <c r="E95" i="26" a="1"/>
  <c r="E95" i="26" s="1"/>
  <c r="E64" i="26" a="1"/>
  <c r="E64" i="26" s="1"/>
  <c r="E41" i="26" a="1"/>
  <c r="E41" i="26" s="1"/>
  <c r="E130" i="26" a="1"/>
  <c r="E130" i="26" s="1"/>
  <c r="E107" i="26" a="1"/>
  <c r="E107" i="26" s="1"/>
  <c r="E145" i="30" a="1"/>
  <c r="E145" i="30" s="1"/>
  <c r="E143" i="30" a="1"/>
  <c r="E143" i="30" s="1"/>
  <c r="E50" i="30" a="1"/>
  <c r="E50" i="30" s="1"/>
  <c r="E52" i="30" a="1"/>
  <c r="E52" i="30" s="1"/>
  <c r="E120" i="30" a="1"/>
  <c r="E120" i="30" s="1"/>
  <c r="E45" i="30" a="1"/>
  <c r="E45" i="30" s="1"/>
  <c r="E84" i="26" a="1"/>
  <c r="E84" i="26" s="1"/>
  <c r="E53" i="26" a="1"/>
  <c r="E53" i="26" s="1"/>
  <c r="E118" i="26" a="1"/>
  <c r="E118" i="26" s="1"/>
  <c r="E103" i="26" a="1"/>
  <c r="E103" i="26" s="1"/>
  <c r="E72" i="26" a="1"/>
  <c r="E72" i="26" s="1"/>
  <c r="E49" i="26" a="1"/>
  <c r="E49" i="26" s="1"/>
  <c r="E138" i="26" a="1"/>
  <c r="E138" i="26" s="1"/>
  <c r="E115" i="26" a="1"/>
  <c r="E115" i="26" s="1"/>
  <c r="E160" i="30" a="1"/>
  <c r="E160" i="30" s="1"/>
  <c r="E142" i="30" a="1"/>
  <c r="E142" i="30" s="1"/>
  <c r="E67" i="30" a="1"/>
  <c r="E67" i="30" s="1"/>
  <c r="E42" i="30" a="1"/>
  <c r="E42" i="30" s="1"/>
  <c r="E119" i="30" a="1"/>
  <c r="E119" i="30" s="1"/>
  <c r="E20" i="30" a="1"/>
  <c r="E20" i="30" s="1"/>
  <c r="E95" i="30" a="1"/>
  <c r="E95" i="30" s="1"/>
  <c r="E92" i="26" a="1"/>
  <c r="E92" i="26" s="1"/>
  <c r="E61" i="26" a="1"/>
  <c r="E61" i="26" s="1"/>
  <c r="E31" i="26" a="1"/>
  <c r="E31" i="26" s="1"/>
  <c r="E126" i="26" a="1"/>
  <c r="E126" i="26" s="1"/>
  <c r="E111" i="26" a="1"/>
  <c r="E111" i="26" s="1"/>
  <c r="E80" i="26" a="1"/>
  <c r="E80" i="26" s="1"/>
  <c r="E57" i="26" a="1"/>
  <c r="E57" i="26" s="1"/>
  <c r="E146" i="26" a="1"/>
  <c r="E146" i="26" s="1"/>
  <c r="E123" i="26" a="1"/>
  <c r="E123" i="26" s="1"/>
  <c r="E159" i="30" a="1"/>
  <c r="E159" i="30" s="1"/>
  <c r="E141" i="30" a="1"/>
  <c r="E141" i="30" s="1"/>
  <c r="E66" i="30" a="1"/>
  <c r="E66" i="30" s="1"/>
  <c r="E94" i="30" a="1"/>
  <c r="E94" i="30" s="1"/>
  <c r="E103" i="30" a="1"/>
  <c r="E103" i="30" s="1"/>
  <c r="E118" i="30" a="1"/>
  <c r="E118" i="30" s="1"/>
  <c r="E109" i="30" a="1"/>
  <c r="E109" i="30" s="1"/>
  <c r="E92" i="30" a="1"/>
  <c r="E92" i="30" s="1"/>
  <c r="E100" i="26" a="1"/>
  <c r="E100" i="26" s="1"/>
  <c r="E69" i="26" a="1"/>
  <c r="E69" i="26" s="1"/>
  <c r="E39" i="26" a="1"/>
  <c r="E39" i="26" s="1"/>
  <c r="E134" i="26" a="1"/>
  <c r="E134" i="26" s="1"/>
  <c r="E119" i="26" a="1"/>
  <c r="E119" i="26" s="1"/>
  <c r="E88" i="26" a="1"/>
  <c r="E88" i="26" s="1"/>
  <c r="E65" i="26" a="1"/>
  <c r="E65" i="26" s="1"/>
  <c r="E26" i="26" a="1"/>
  <c r="E26" i="26" s="1"/>
  <c r="E154" i="26" a="1"/>
  <c r="E154" i="26" s="1"/>
  <c r="E131" i="26" a="1"/>
  <c r="E131" i="26" s="1"/>
  <c r="E158" i="30" a="1"/>
  <c r="E158" i="30" s="1"/>
  <c r="E140" i="30" a="1"/>
  <c r="E140" i="30" s="1"/>
  <c r="E64" i="30" a="1"/>
  <c r="E64" i="30" s="1"/>
  <c r="E117" i="30" a="1"/>
  <c r="E117" i="30" s="1"/>
  <c r="E108" i="30" a="1"/>
  <c r="E108" i="30" s="1"/>
  <c r="E32" i="30" a="1"/>
  <c r="E32" i="30" s="1"/>
  <c r="E29" i="30" a="1"/>
  <c r="E29" i="30" s="1"/>
  <c r="E108" i="26" a="1"/>
  <c r="E108" i="26" s="1"/>
  <c r="E77" i="26" a="1"/>
  <c r="E77" i="26" s="1"/>
  <c r="E55" i="26" a="1"/>
  <c r="E55" i="26" s="1"/>
  <c r="E142" i="26" a="1"/>
  <c r="E142" i="26" s="1"/>
  <c r="E127" i="26" a="1"/>
  <c r="E127" i="26" s="1"/>
  <c r="E96" i="26" a="1"/>
  <c r="E96" i="26" s="1"/>
  <c r="E73" i="26" a="1"/>
  <c r="E73" i="26" s="1"/>
  <c r="E34" i="26" a="1"/>
  <c r="E34" i="26" s="1"/>
  <c r="E139" i="26" a="1"/>
  <c r="E139" i="26" s="1"/>
  <c r="E157" i="30" a="1"/>
  <c r="E157" i="30" s="1"/>
  <c r="E74" i="30" a="1"/>
  <c r="E74" i="30" s="1"/>
  <c r="E51" i="30" a="1"/>
  <c r="E51" i="30" s="1"/>
  <c r="E116" i="30" a="1"/>
  <c r="E116" i="30" s="1"/>
  <c r="E110" i="30" a="1"/>
  <c r="E110" i="30" s="1"/>
  <c r="E107" i="30" a="1"/>
  <c r="E107" i="30" s="1"/>
  <c r="E17" i="30" a="1"/>
  <c r="E17" i="30" s="1"/>
  <c r="E102" i="30" a="1"/>
  <c r="E102" i="30" s="1"/>
  <c r="E47" i="30" a="1"/>
  <c r="E47" i="30" s="1"/>
  <c r="E116" i="26" a="1"/>
  <c r="E116" i="26" s="1"/>
  <c r="E85" i="26" a="1"/>
  <c r="E85" i="26" s="1"/>
  <c r="E22" i="26" a="1"/>
  <c r="E22" i="26" s="1"/>
  <c r="E150" i="26" a="1"/>
  <c r="E150" i="26" s="1"/>
  <c r="E135" i="26" a="1"/>
  <c r="E135" i="26" s="1"/>
  <c r="E104" i="26" a="1"/>
  <c r="E104" i="26" s="1"/>
  <c r="E81" i="26" a="1"/>
  <c r="E81" i="26" s="1"/>
  <c r="E42" i="26" a="1"/>
  <c r="E42" i="26" s="1"/>
  <c r="E147" i="26" a="1"/>
  <c r="E147" i="26" s="1"/>
  <c r="E156" i="30" a="1"/>
  <c r="E156" i="30" s="1"/>
  <c r="E73" i="30" a="1"/>
  <c r="E73" i="30" s="1"/>
  <c r="E44" i="30" a="1"/>
  <c r="E44" i="30" s="1"/>
  <c r="E27" i="30" a="1"/>
  <c r="E27" i="30" s="1"/>
  <c r="E63" i="30" a="1"/>
  <c r="E63" i="30" s="1"/>
  <c r="E131" i="30" a="1"/>
  <c r="E131" i="30" s="1"/>
  <c r="E115" i="30" a="1"/>
  <c r="E115" i="30" s="1"/>
  <c r="E40" i="30" a="1"/>
  <c r="E40" i="30" s="1"/>
  <c r="E106" i="30" a="1"/>
  <c r="E106" i="30" s="1"/>
  <c r="E101" i="30" a="1"/>
  <c r="E101" i="30" s="1"/>
  <c r="E31" i="30" a="1"/>
  <c r="E31" i="30" s="1"/>
  <c r="E23" i="30" a="1"/>
  <c r="E23" i="30" s="1"/>
  <c r="E124" i="26" a="1"/>
  <c r="E124" i="26" s="1"/>
  <c r="E93" i="26" a="1"/>
  <c r="E93" i="26" s="1"/>
  <c r="E30" i="26" a="1"/>
  <c r="E30" i="26" s="1"/>
  <c r="E158" i="26" a="1"/>
  <c r="E158" i="26" s="1"/>
  <c r="E143" i="26" a="1"/>
  <c r="E143" i="26" s="1"/>
  <c r="E112" i="26" a="1"/>
  <c r="E112" i="26" s="1"/>
  <c r="E89" i="26" a="1"/>
  <c r="E89" i="26" s="1"/>
  <c r="E50" i="26" a="1"/>
  <c r="E50" i="26" s="1"/>
  <c r="E27" i="26" a="1"/>
  <c r="E27" i="26" s="1"/>
  <c r="E155" i="26" a="1"/>
  <c r="E155" i="26" s="1"/>
  <c r="E155" i="30" a="1"/>
  <c r="E155" i="30" s="1"/>
  <c r="E72" i="30" a="1"/>
  <c r="E72" i="30" s="1"/>
  <c r="E62" i="30" a="1"/>
  <c r="E62" i="30" s="1"/>
  <c r="E130" i="30" a="1"/>
  <c r="E130" i="30" s="1"/>
  <c r="E114" i="30" a="1"/>
  <c r="E114" i="30" s="1"/>
  <c r="E39" i="30" a="1"/>
  <c r="E39" i="30" s="1"/>
  <c r="E105" i="30" a="1"/>
  <c r="E105" i="30" s="1"/>
  <c r="E100" i="30" a="1"/>
  <c r="E100" i="30" s="1"/>
  <c r="E18" i="30" a="1"/>
  <c r="E18" i="30" s="1"/>
  <c r="E81" i="30" a="1"/>
  <c r="E81" i="30" s="1"/>
  <c r="E132" i="26" a="1"/>
  <c r="E132" i="26" s="1"/>
  <c r="E101" i="26" a="1"/>
  <c r="E101" i="26" s="1"/>
  <c r="E38" i="26" a="1"/>
  <c r="E38" i="26" s="1"/>
  <c r="E151" i="26" a="1"/>
  <c r="E151" i="26" s="1"/>
  <c r="E120" i="26" a="1"/>
  <c r="E120" i="26" s="1"/>
  <c r="E97" i="26" a="1"/>
  <c r="E97" i="26" s="1"/>
  <c r="E58" i="26" a="1"/>
  <c r="E58" i="26" s="1"/>
  <c r="E35" i="26" a="1"/>
  <c r="E35" i="26" s="1"/>
  <c r="E154" i="30" a="1"/>
  <c r="E154" i="30" s="1"/>
  <c r="E71" i="30" a="1"/>
  <c r="E71" i="30" s="1"/>
  <c r="E91" i="30" a="1"/>
  <c r="E91" i="30" s="1"/>
  <c r="E61" i="30" a="1"/>
  <c r="E61" i="30" s="1"/>
  <c r="E129" i="30" a="1"/>
  <c r="E129" i="30" s="1"/>
  <c r="E113" i="30" a="1"/>
  <c r="E113" i="30" s="1"/>
  <c r="E38" i="30" a="1"/>
  <c r="E38" i="30" s="1"/>
  <c r="E99" i="30" a="1"/>
  <c r="E99" i="30" s="1"/>
  <c r="E89" i="30" a="1"/>
  <c r="E89" i="30" s="1"/>
  <c r="E25" i="30" a="1"/>
  <c r="E25" i="30" s="1"/>
  <c r="E140" i="26" a="1"/>
  <c r="E140" i="26" s="1"/>
  <c r="E109" i="26" a="1"/>
  <c r="E109" i="26" s="1"/>
  <c r="E46" i="26" a="1"/>
  <c r="E46" i="26" s="1"/>
  <c r="E159" i="26" a="1"/>
  <c r="E159" i="26" s="1"/>
  <c r="E128" i="26" a="1"/>
  <c r="E128" i="26" s="1"/>
  <c r="E105" i="26" a="1"/>
  <c r="E105" i="26" s="1"/>
  <c r="E66" i="26" a="1"/>
  <c r="E66" i="26" s="1"/>
  <c r="E43" i="26" a="1"/>
  <c r="E43" i="26" s="1"/>
  <c r="E153" i="30" a="1"/>
  <c r="E153" i="30" s="1"/>
  <c r="E70" i="30" a="1"/>
  <c r="E70" i="30" s="1"/>
  <c r="E60" i="30" a="1"/>
  <c r="E60" i="30" s="1"/>
  <c r="E128" i="30" a="1"/>
  <c r="E128" i="30" s="1"/>
  <c r="E112" i="30" a="1"/>
  <c r="E112" i="30" s="1"/>
  <c r="E37" i="30" a="1"/>
  <c r="E37" i="30" s="1"/>
  <c r="E98" i="30" a="1"/>
  <c r="E98" i="30" s="1"/>
  <c r="E88" i="30" a="1"/>
  <c r="E88" i="30" s="1"/>
  <c r="E20" i="26" a="1"/>
  <c r="E20" i="26" s="1"/>
  <c r="E148" i="26" a="1"/>
  <c r="E148" i="26" s="1"/>
  <c r="E117" i="26" a="1"/>
  <c r="E117" i="26" s="1"/>
  <c r="E54" i="26" a="1"/>
  <c r="E54" i="26" s="1"/>
  <c r="E136" i="26" a="1"/>
  <c r="E136" i="26" s="1"/>
  <c r="E113" i="26" a="1"/>
  <c r="E113" i="26" s="1"/>
  <c r="E74" i="26" a="1"/>
  <c r="E74" i="26" s="1"/>
  <c r="E51" i="26" a="1"/>
  <c r="E51" i="26" s="1"/>
  <c r="E152" i="30" a="1"/>
  <c r="E152" i="30" s="1"/>
  <c r="E48" i="30" a="1"/>
  <c r="E48" i="30" s="1"/>
  <c r="E69" i="30" a="1"/>
  <c r="E69" i="30" s="1"/>
  <c r="E59" i="30" a="1"/>
  <c r="E59" i="30" s="1"/>
  <c r="E127" i="30" a="1"/>
  <c r="E127" i="30" s="1"/>
  <c r="E111" i="30" a="1"/>
  <c r="E111" i="30" s="1"/>
  <c r="E36" i="30" a="1"/>
  <c r="E36" i="30" s="1"/>
  <c r="E97" i="30" a="1"/>
  <c r="E97" i="30" s="1"/>
  <c r="E87" i="30" a="1"/>
  <c r="E87" i="30" s="1"/>
  <c r="E82" i="30" a="1"/>
  <c r="E82" i="30" s="1"/>
  <c r="E28" i="26" a="1"/>
  <c r="E28" i="26" s="1"/>
  <c r="E156" i="26" a="1"/>
  <c r="E156" i="26" s="1"/>
  <c r="E125" i="26" a="1"/>
  <c r="E125" i="26" s="1"/>
  <c r="E62" i="26" a="1"/>
  <c r="E62" i="26" s="1"/>
  <c r="E23" i="26" a="1"/>
  <c r="E23" i="26" s="1"/>
  <c r="E144" i="26" a="1"/>
  <c r="E144" i="26" s="1"/>
  <c r="E121" i="26" a="1"/>
  <c r="E121" i="26" s="1"/>
  <c r="E82" i="26" a="1"/>
  <c r="E82" i="26" s="1"/>
  <c r="E59" i="26" a="1"/>
  <c r="E59" i="26" s="1"/>
  <c r="E151" i="30" a="1"/>
  <c r="E151" i="30" s="1"/>
  <c r="E68" i="30" a="1"/>
  <c r="E68" i="30" s="1"/>
  <c r="E135" i="30" a="1"/>
  <c r="E135" i="30" s="1"/>
  <c r="E58" i="30" a="1"/>
  <c r="E58" i="30" s="1"/>
  <c r="E126" i="30" a="1"/>
  <c r="E126" i="30" s="1"/>
  <c r="E35" i="30" a="1"/>
  <c r="E35" i="30" s="1"/>
  <c r="E96" i="30" a="1"/>
  <c r="E96" i="30" s="1"/>
  <c r="E86" i="30" a="1"/>
  <c r="E86" i="30" s="1"/>
  <c r="E80" i="30" a="1"/>
  <c r="E80" i="30" s="1"/>
  <c r="E36" i="26" a="1"/>
  <c r="E36" i="26" s="1"/>
  <c r="E133" i="26" a="1"/>
  <c r="E133" i="26" s="1"/>
  <c r="E70" i="26" a="1"/>
  <c r="E70" i="26" s="1"/>
  <c r="E47" i="26" a="1"/>
  <c r="E47" i="26" s="1"/>
  <c r="E24" i="26" a="1"/>
  <c r="E24" i="26" s="1"/>
  <c r="E152" i="26" a="1"/>
  <c r="E152" i="26" s="1"/>
  <c r="E129" i="26" a="1"/>
  <c r="E129" i="26" s="1"/>
  <c r="E90" i="26" a="1"/>
  <c r="E90" i="26" s="1"/>
  <c r="E67" i="26" a="1"/>
  <c r="E67" i="26" s="1"/>
  <c r="E150" i="30" a="1"/>
  <c r="E150" i="30" s="1"/>
  <c r="E49" i="30" a="1"/>
  <c r="E49" i="30" s="1"/>
  <c r="E24" i="30" a="1"/>
  <c r="E24" i="30" s="1"/>
  <c r="E134" i="30" a="1"/>
  <c r="E134" i="30" s="1"/>
  <c r="E57" i="30" a="1"/>
  <c r="E57" i="30" s="1"/>
  <c r="E125" i="30" a="1"/>
  <c r="E125" i="30" s="1"/>
  <c r="E34" i="30" a="1"/>
  <c r="E34" i="30" s="1"/>
  <c r="E93" i="30" a="1"/>
  <c r="E93" i="30" s="1"/>
  <c r="E85" i="30" a="1"/>
  <c r="E85" i="30" s="1"/>
  <c r="E78" i="30" a="1"/>
  <c r="E78" i="30" s="1"/>
  <c r="E44" i="26" a="1"/>
  <c r="E44" i="26" s="1"/>
  <c r="E141" i="26" a="1"/>
  <c r="E141" i="26" s="1"/>
  <c r="E78" i="26" a="1"/>
  <c r="E78" i="26" s="1"/>
  <c r="E63" i="26" a="1"/>
  <c r="E63" i="26" s="1"/>
  <c r="E32" i="26" a="1"/>
  <c r="E32" i="26" s="1"/>
  <c r="E160" i="26" a="1"/>
  <c r="E160" i="26" s="1"/>
  <c r="E137" i="26" a="1"/>
  <c r="E137" i="26" s="1"/>
  <c r="E98" i="26" a="1"/>
  <c r="E98" i="26" s="1"/>
  <c r="E75" i="26" a="1"/>
  <c r="E75" i="26" s="1"/>
  <c r="AN22" i="23"/>
  <c r="V53" i="23"/>
  <c r="AG51" i="23"/>
  <c r="AH51" i="23" s="1"/>
  <c r="AN51" i="23"/>
  <c r="AG55" i="23"/>
  <c r="AH55" i="23" s="1"/>
  <c r="AG47" i="23"/>
  <c r="AH47" i="23" s="1"/>
  <c r="AN47" i="23"/>
  <c r="V15" i="26" s="1"/>
  <c r="AN10" i="23"/>
  <c r="U50" i="23"/>
  <c r="V50" i="23" s="1"/>
  <c r="AN50" i="23"/>
  <c r="AF18" i="23" a="1"/>
  <c r="AF18" i="23" s="1"/>
  <c r="X44" i="23"/>
  <c r="Y44" i="23" s="1"/>
  <c r="AN44" i="23"/>
  <c r="U45" i="23"/>
  <c r="V45" i="23" s="1"/>
  <c r="AN45" i="23"/>
  <c r="U11" i="23"/>
  <c r="AN11" i="23"/>
  <c r="AN9" i="23"/>
  <c r="AG43" i="23"/>
  <c r="AH43" i="23" s="1"/>
  <c r="AN43" i="23"/>
  <c r="U35" i="23"/>
  <c r="V35" i="23" s="1"/>
  <c r="AN35" i="23"/>
  <c r="AD48" i="23"/>
  <c r="AE48" i="23" s="1"/>
  <c r="AN48" i="23"/>
  <c r="AG36" i="23"/>
  <c r="AH36" i="23" s="1"/>
  <c r="AN36" i="23"/>
  <c r="X39" i="23"/>
  <c r="Y39" i="23" s="1"/>
  <c r="AN39" i="23"/>
  <c r="U41" i="23"/>
  <c r="V41" i="23" s="1"/>
  <c r="AN41" i="23"/>
  <c r="U46" i="23"/>
  <c r="V46" i="23" s="1"/>
  <c r="AN46" i="23"/>
  <c r="AG38" i="23"/>
  <c r="AH38" i="23" s="1"/>
  <c r="AN38" i="23"/>
  <c r="AG34" i="23"/>
  <c r="AH34" i="23" s="1"/>
  <c r="AN34" i="23"/>
  <c r="AN54" i="23"/>
  <c r="U33" i="23"/>
  <c r="V33" i="23" s="1"/>
  <c r="AN33" i="23"/>
  <c r="U37" i="23"/>
  <c r="V37" i="23" s="1"/>
  <c r="AN37" i="23"/>
  <c r="AG15" i="23"/>
  <c r="AN15" i="23"/>
  <c r="AG19" i="23"/>
  <c r="AN19" i="23"/>
  <c r="X40" i="23"/>
  <c r="Y40" i="23" s="1"/>
  <c r="AN40" i="23"/>
  <c r="AN53" i="23"/>
  <c r="AG56" i="23"/>
  <c r="AH56" i="23" s="1"/>
  <c r="AG26" i="23"/>
  <c r="AN26" i="23"/>
  <c r="AB37" i="23"/>
  <c r="U49" i="23"/>
  <c r="V49" i="23" s="1"/>
  <c r="AN49" i="23"/>
  <c r="AB8" i="23"/>
  <c r="AG42" i="23"/>
  <c r="AH42" i="23" s="1"/>
  <c r="AN42" i="23"/>
  <c r="AN52" i="23"/>
  <c r="W21" i="23" a="1"/>
  <c r="W21" i="23" s="1"/>
  <c r="T11" i="23" a="1"/>
  <c r="T11" i="23" s="1"/>
  <c r="X11" i="23"/>
  <c r="AB14" i="23"/>
  <c r="S32" i="23"/>
  <c r="AG32" i="23" s="1"/>
  <c r="AH32" i="23" s="1"/>
  <c r="AC29" i="23" a="1"/>
  <c r="AC29" i="23" s="1"/>
  <c r="W32" i="23" a="1"/>
  <c r="W32" i="23" s="1"/>
  <c r="W11" i="23" a="1"/>
  <c r="W11" i="23" s="1"/>
  <c r="S25" i="23"/>
  <c r="W29" i="23" a="1"/>
  <c r="W29" i="23" s="1"/>
  <c r="AB45" i="23"/>
  <c r="W25" i="23" a="1"/>
  <c r="W25" i="23" s="1"/>
  <c r="AB41" i="23"/>
  <c r="AB26" i="23"/>
  <c r="AA26" i="23"/>
  <c r="AB29" i="23"/>
  <c r="AA29" i="23"/>
  <c r="AB56" i="23"/>
  <c r="AA56" i="23"/>
  <c r="AB47" i="23"/>
  <c r="AA47" i="23"/>
  <c r="AB18" i="23"/>
  <c r="AA18" i="23"/>
  <c r="AB52" i="23"/>
  <c r="AA52" i="23"/>
  <c r="AB35" i="23"/>
  <c r="AA35" i="23"/>
  <c r="AG10" i="23"/>
  <c r="AB9" i="23"/>
  <c r="AA9" i="23"/>
  <c r="S29" i="23"/>
  <c r="AD29" i="23" s="1"/>
  <c r="T32" i="23" a="1"/>
  <c r="T32" i="23" s="1"/>
  <c r="AB19" i="23"/>
  <c r="AA19" i="23"/>
  <c r="AB13" i="23"/>
  <c r="AA13" i="23"/>
  <c r="AB43" i="23"/>
  <c r="AA43" i="23"/>
  <c r="AB27" i="23"/>
  <c r="AA27" i="23"/>
  <c r="AB10" i="23"/>
  <c r="AA10" i="23"/>
  <c r="AB33" i="23"/>
  <c r="AA33" i="23"/>
  <c r="AB11" i="23"/>
  <c r="AA11" i="23"/>
  <c r="AB7" i="23"/>
  <c r="AA7" i="23"/>
  <c r="AB23" i="23"/>
  <c r="AA23" i="23"/>
  <c r="AB32" i="23"/>
  <c r="AA32" i="23"/>
  <c r="AB36" i="23"/>
  <c r="AA36" i="23"/>
  <c r="AB25" i="23"/>
  <c r="AA25" i="23"/>
  <c r="AB55" i="23"/>
  <c r="AA55" i="23"/>
  <c r="S8" i="23"/>
  <c r="AB20" i="23"/>
  <c r="AA20" i="23"/>
  <c r="AB39" i="23"/>
  <c r="AA39" i="23"/>
  <c r="AB48" i="23"/>
  <c r="AA48" i="23"/>
  <c r="AB50" i="23"/>
  <c r="AA50" i="23"/>
  <c r="AB54" i="23"/>
  <c r="AA54" i="23"/>
  <c r="AB51" i="23"/>
  <c r="AA51" i="23"/>
  <c r="AB46" i="23"/>
  <c r="AA46" i="23"/>
  <c r="AB22" i="23"/>
  <c r="AA22" i="23"/>
  <c r="AB44" i="23"/>
  <c r="AA44" i="23"/>
  <c r="AB42" i="23"/>
  <c r="AA42" i="23"/>
  <c r="AB28" i="23"/>
  <c r="AA28" i="23"/>
  <c r="AB49" i="23"/>
  <c r="AA49" i="23"/>
  <c r="AB16" i="23"/>
  <c r="AA16" i="23"/>
  <c r="AB38" i="23"/>
  <c r="AA38" i="23"/>
  <c r="AB24" i="23"/>
  <c r="AA24" i="23"/>
  <c r="AB17" i="23"/>
  <c r="AA17" i="23"/>
  <c r="AB34" i="23"/>
  <c r="AA34" i="23"/>
  <c r="AG41" i="23"/>
  <c r="AH41" i="23" s="1"/>
  <c r="AB21" i="23"/>
  <c r="AA21" i="23"/>
  <c r="AB30" i="23"/>
  <c r="AA30" i="23"/>
  <c r="AB31" i="23"/>
  <c r="AA31" i="23"/>
  <c r="AC25" i="23" a="1"/>
  <c r="AC25" i="23" s="1"/>
  <c r="AB40" i="23"/>
  <c r="AA40" i="23"/>
  <c r="AC30" i="23" a="1"/>
  <c r="AC30" i="23" s="1"/>
  <c r="AB15" i="23"/>
  <c r="AA15" i="23"/>
  <c r="AF30" i="23" a="1"/>
  <c r="AF30" i="23" s="1"/>
  <c r="AE52" i="23"/>
  <c r="AD46" i="23"/>
  <c r="AE46" i="23" s="1"/>
  <c r="S21" i="23"/>
  <c r="AD26" i="23"/>
  <c r="X37" i="23"/>
  <c r="Y37" i="23" s="1"/>
  <c r="S18" i="23"/>
  <c r="AN18" i="23" s="1"/>
  <c r="AG46" i="23"/>
  <c r="AH46" i="23" s="1"/>
  <c r="T18" i="23" a="1"/>
  <c r="T18" i="23" s="1"/>
  <c r="S13" i="23"/>
  <c r="U13" i="23" s="1"/>
  <c r="X49" i="23"/>
  <c r="Y49" i="23" s="1"/>
  <c r="T13" i="23" a="1"/>
  <c r="T13" i="23" s="1"/>
  <c r="AC26" i="23" a="1"/>
  <c r="AC26" i="23" s="1"/>
  <c r="X45" i="23"/>
  <c r="Y45" i="23" s="1"/>
  <c r="AH54" i="23"/>
  <c r="AD37" i="23"/>
  <c r="AE37" i="23" s="1"/>
  <c r="AF23" i="23" a="1"/>
  <c r="AF23" i="23" s="1"/>
  <c r="AD38" i="23"/>
  <c r="AE38" i="23" s="1"/>
  <c r="AG50" i="23"/>
  <c r="AH50" i="23" s="1"/>
  <c r="AD56" i="23"/>
  <c r="AE56" i="23" s="1"/>
  <c r="AD41" i="23"/>
  <c r="AE41" i="23" s="1"/>
  <c r="AD47" i="23"/>
  <c r="AE47" i="23" s="1"/>
  <c r="AD33" i="23"/>
  <c r="AE33" i="23" s="1"/>
  <c r="AF19" i="23" a="1"/>
  <c r="AF19" i="23" s="1"/>
  <c r="AG52" i="23"/>
  <c r="AH52" i="23" s="1"/>
  <c r="AD44" i="23"/>
  <c r="AE44" i="23" s="1"/>
  <c r="AG53" i="23"/>
  <c r="AH53" i="23" s="1"/>
  <c r="AD54" i="23"/>
  <c r="AE54" i="23" s="1"/>
  <c r="AG22" i="23"/>
  <c r="AF10" i="23" a="1"/>
  <c r="AF10" i="23" s="1"/>
  <c r="AF21" i="23" a="1"/>
  <c r="AF21" i="23" s="1"/>
  <c r="AG37" i="23"/>
  <c r="AH37" i="23" s="1"/>
  <c r="AC31" i="23" a="1"/>
  <c r="AC31" i="23" s="1"/>
  <c r="AF20" i="23" a="1"/>
  <c r="AF20" i="23" s="1"/>
  <c r="AD53" i="23"/>
  <c r="AE53" i="23" s="1"/>
  <c r="AC21" i="23" a="1"/>
  <c r="AC21" i="23" s="1"/>
  <c r="AC8" i="23" a="1"/>
  <c r="AC8" i="23" s="1"/>
  <c r="AG9" i="23"/>
  <c r="AC32" i="23" a="1"/>
  <c r="AC32" i="23" s="1"/>
  <c r="AD55" i="23"/>
  <c r="AE55" i="23" s="1"/>
  <c r="AF31" i="23" a="1"/>
  <c r="AF31" i="23" s="1"/>
  <c r="AD19" i="23"/>
  <c r="AG44" i="23"/>
  <c r="AH44" i="23" s="1"/>
  <c r="AC20" i="23" a="1"/>
  <c r="AC20" i="23" s="1"/>
  <c r="AC22" i="23" a="1"/>
  <c r="AC22" i="23" s="1"/>
  <c r="AE22" i="23" s="1"/>
  <c r="AF8" i="23" a="1"/>
  <c r="AF8" i="23" s="1"/>
  <c r="AD15" i="23"/>
  <c r="AF22" i="23" a="1"/>
  <c r="AF22" i="23" s="1"/>
  <c r="AF17" i="23" a="1"/>
  <c r="AF17" i="23" s="1"/>
  <c r="AG40" i="23"/>
  <c r="AH40" i="23" s="1"/>
  <c r="AC9" i="23" a="1"/>
  <c r="AC9" i="23" s="1"/>
  <c r="AE9" i="23" s="1"/>
  <c r="AC27" i="23" a="1"/>
  <c r="AC27" i="23" s="1"/>
  <c r="AC19" i="23" a="1"/>
  <c r="AC19" i="23" s="1"/>
  <c r="AD36" i="23"/>
  <c r="AE36" i="23" s="1"/>
  <c r="AD39" i="23"/>
  <c r="AE39" i="23" s="1"/>
  <c r="AF14" i="23" a="1"/>
  <c r="AF14" i="23" s="1"/>
  <c r="AF9" i="23" a="1"/>
  <c r="AF9" i="23" s="1"/>
  <c r="AF28" i="23" a="1"/>
  <c r="AF28" i="23" s="1"/>
  <c r="AF15" i="23" a="1"/>
  <c r="AF15" i="23" s="1"/>
  <c r="AD34" i="23"/>
  <c r="AE34" i="23" s="1"/>
  <c r="AG49" i="23"/>
  <c r="AH49" i="23" s="1"/>
  <c r="AD40" i="23"/>
  <c r="AE40" i="23" s="1"/>
  <c r="AD43" i="23"/>
  <c r="AE43" i="23" s="1"/>
  <c r="AF27" i="23" a="1"/>
  <c r="AF27" i="23" s="1"/>
  <c r="AD11" i="23"/>
  <c r="AC28" i="23" a="1"/>
  <c r="AC28" i="23" s="1"/>
  <c r="AC15" i="23" a="1"/>
  <c r="AC15" i="23" s="1"/>
  <c r="AC14" i="23" a="1"/>
  <c r="AC14" i="23" s="1"/>
  <c r="AC13" i="23" a="1"/>
  <c r="AC13" i="23" s="1"/>
  <c r="AF11" i="23" a="1"/>
  <c r="AF11" i="23" s="1"/>
  <c r="AG39" i="23"/>
  <c r="AH39" i="23" s="1"/>
  <c r="AG45" i="23"/>
  <c r="AH45" i="23" s="1"/>
  <c r="AC12" i="23" a="1"/>
  <c r="AC12" i="23" s="1"/>
  <c r="AF13" i="23" a="1"/>
  <c r="AF13" i="23" s="1"/>
  <c r="AD35" i="23"/>
  <c r="AE35" i="23" s="1"/>
  <c r="AC11" i="23" a="1"/>
  <c r="AC11" i="23" s="1"/>
  <c r="AC16" i="23" a="1"/>
  <c r="AC16" i="23" s="1"/>
  <c r="AC18" i="23" a="1"/>
  <c r="AC18" i="23" s="1"/>
  <c r="AD49" i="23"/>
  <c r="AE49" i="23" s="1"/>
  <c r="AC24" i="23" a="1"/>
  <c r="AC24" i="23" s="1"/>
  <c r="AG48" i="23"/>
  <c r="AH48" i="23" s="1"/>
  <c r="AF12" i="23" a="1"/>
  <c r="AF12" i="23" s="1"/>
  <c r="W14" i="23" a="1"/>
  <c r="W14" i="23" s="1"/>
  <c r="T20" i="23" a="1"/>
  <c r="T20" i="23" s="1"/>
  <c r="AF26" i="23" a="1"/>
  <c r="AF26" i="23" s="1"/>
  <c r="AF25" i="23" a="1"/>
  <c r="AF25" i="23" s="1"/>
  <c r="AD42" i="23"/>
  <c r="AE42" i="23" s="1"/>
  <c r="AG33" i="23"/>
  <c r="AH33" i="23" s="1"/>
  <c r="AG11" i="23"/>
  <c r="AD51" i="23"/>
  <c r="AE51" i="23" s="1"/>
  <c r="AG35" i="23"/>
  <c r="AH35" i="23" s="1"/>
  <c r="AC23" i="23" a="1"/>
  <c r="AC23" i="23" s="1"/>
  <c r="L134" i="6"/>
  <c r="L135" i="6"/>
  <c r="L91" i="6"/>
  <c r="L29" i="6"/>
  <c r="L126" i="6"/>
  <c r="L97" i="6"/>
  <c r="L18" i="6"/>
  <c r="L129" i="6"/>
  <c r="L131" i="6"/>
  <c r="L66" i="6"/>
  <c r="L105" i="6"/>
  <c r="L148" i="6"/>
  <c r="L101" i="6"/>
  <c r="L86" i="6"/>
  <c r="L74" i="6"/>
  <c r="L150" i="6"/>
  <c r="L151" i="6"/>
  <c r="L107" i="6"/>
  <c r="L45" i="6"/>
  <c r="L142" i="6"/>
  <c r="L113" i="6"/>
  <c r="L52" i="6"/>
  <c r="L100" i="6"/>
  <c r="L138" i="6"/>
  <c r="L48" i="6"/>
  <c r="L24" i="6"/>
  <c r="L123" i="6"/>
  <c r="L61" i="6"/>
  <c r="L15" i="6"/>
  <c r="L16" i="6"/>
  <c r="L89" i="6"/>
  <c r="L133" i="6"/>
  <c r="L83" i="6"/>
  <c r="L128" i="6"/>
  <c r="L117" i="6"/>
  <c r="L40" i="6"/>
  <c r="L139" i="6"/>
  <c r="L77" i="6"/>
  <c r="L31" i="6"/>
  <c r="L51" i="6"/>
  <c r="L25" i="6"/>
  <c r="L147" i="6"/>
  <c r="L43" i="6"/>
  <c r="L21" i="6"/>
  <c r="L56" i="6"/>
  <c r="L155" i="6"/>
  <c r="L93" i="6"/>
  <c r="L47" i="6"/>
  <c r="L85" i="6"/>
  <c r="L64" i="6"/>
  <c r="L149" i="6"/>
  <c r="L69" i="6"/>
  <c r="L106" i="6"/>
  <c r="L53" i="6"/>
  <c r="L72" i="6"/>
  <c r="L12" i="6"/>
  <c r="L109" i="6"/>
  <c r="L63" i="6"/>
  <c r="L122" i="6"/>
  <c r="L99" i="6"/>
  <c r="L50" i="6"/>
  <c r="L49" i="6"/>
  <c r="L58" i="6"/>
  <c r="L146" i="6"/>
  <c r="L88" i="6"/>
  <c r="L28" i="6"/>
  <c r="L125" i="6"/>
  <c r="L79" i="6"/>
  <c r="L154" i="6"/>
  <c r="L132" i="6"/>
  <c r="L84" i="6"/>
  <c r="L78" i="6"/>
  <c r="L104" i="6"/>
  <c r="L44" i="6"/>
  <c r="L141" i="6"/>
  <c r="L95" i="6"/>
  <c r="L121" i="6"/>
  <c r="L87" i="6"/>
  <c r="L120" i="6"/>
  <c r="L60" i="6"/>
  <c r="L111" i="6"/>
  <c r="L36" i="6"/>
  <c r="L153" i="6"/>
  <c r="L19" i="6"/>
  <c r="L144" i="6"/>
  <c r="L22" i="6"/>
  <c r="L23" i="6"/>
  <c r="L136" i="6"/>
  <c r="L76" i="6"/>
  <c r="L14" i="6"/>
  <c r="L127" i="6"/>
  <c r="L20" i="6"/>
  <c r="L73" i="6"/>
  <c r="L41" i="6"/>
  <c r="L112" i="6"/>
  <c r="L34" i="6"/>
  <c r="L38" i="6"/>
  <c r="L39" i="6"/>
  <c r="L152" i="6"/>
  <c r="L92" i="6"/>
  <c r="L30" i="6"/>
  <c r="L143" i="6"/>
  <c r="L57" i="6"/>
  <c r="L32" i="6"/>
  <c r="L80" i="6"/>
  <c r="L37" i="6"/>
  <c r="L140" i="6"/>
  <c r="L137" i="6"/>
  <c r="L26" i="6"/>
  <c r="L54" i="6"/>
  <c r="L55" i="6"/>
  <c r="L11" i="6"/>
  <c r="L108" i="6"/>
  <c r="L46" i="6"/>
  <c r="L17" i="6"/>
  <c r="L96" i="6"/>
  <c r="L67" i="6"/>
  <c r="L35" i="6"/>
  <c r="L145" i="6"/>
  <c r="L115" i="6"/>
  <c r="L114" i="6"/>
  <c r="L70" i="6"/>
  <c r="L71" i="6"/>
  <c r="L27" i="6"/>
  <c r="L124" i="6"/>
  <c r="L62" i="6"/>
  <c r="L33" i="6"/>
  <c r="L130" i="6"/>
  <c r="L42" i="6"/>
  <c r="L68" i="6"/>
  <c r="L102" i="6"/>
  <c r="L103" i="6"/>
  <c r="L59" i="6"/>
  <c r="L156" i="6"/>
  <c r="L94" i="6"/>
  <c r="L65" i="6"/>
  <c r="L82" i="6"/>
  <c r="L118" i="6"/>
  <c r="L119" i="6"/>
  <c r="L75" i="6"/>
  <c r="L13" i="6"/>
  <c r="L110" i="6"/>
  <c r="L81" i="6"/>
  <c r="L90" i="6"/>
  <c r="L98" i="6"/>
  <c r="L116" i="6"/>
  <c r="AF29" i="23" a="1"/>
  <c r="AF29" i="23" s="1"/>
  <c r="AD45" i="23"/>
  <c r="AE45" i="23" s="1"/>
  <c r="AF24" i="23" a="1"/>
  <c r="AF24" i="23" s="1"/>
  <c r="AF16" i="23" a="1"/>
  <c r="AF16" i="23" s="1"/>
  <c r="AC10" i="23" a="1"/>
  <c r="AC10" i="23" s="1"/>
  <c r="AE10" i="23" s="1"/>
  <c r="AD50" i="23"/>
  <c r="AE50" i="23" s="1"/>
  <c r="X53" i="23"/>
  <c r="Y53" i="23" s="1"/>
  <c r="S31" i="23"/>
  <c r="T24" i="23" a="1"/>
  <c r="T24" i="23" s="1"/>
  <c r="T27" i="23" a="1"/>
  <c r="T27" i="23" s="1"/>
  <c r="S27" i="23"/>
  <c r="T15" i="23" a="1"/>
  <c r="T15" i="23" s="1"/>
  <c r="W15" i="23" a="1"/>
  <c r="W15" i="23" s="1"/>
  <c r="S28" i="23"/>
  <c r="T26" i="23" a="1"/>
  <c r="T26" i="23" s="1"/>
  <c r="S16" i="23"/>
  <c r="AN16" i="23" s="1"/>
  <c r="X35" i="23"/>
  <c r="Y35" i="23" s="1"/>
  <c r="W31" i="23" a="1"/>
  <c r="W31" i="23" s="1"/>
  <c r="X56" i="23"/>
  <c r="Y56" i="23" s="1"/>
  <c r="U56" i="23"/>
  <c r="V56" i="23" s="1"/>
  <c r="U10" i="23"/>
  <c r="X10" i="23"/>
  <c r="U38" i="23"/>
  <c r="V38" i="23" s="1"/>
  <c r="X38" i="23"/>
  <c r="Y38" i="23" s="1"/>
  <c r="X41" i="23"/>
  <c r="Y41" i="23" s="1"/>
  <c r="T8" i="23" a="1"/>
  <c r="T8" i="23" s="1"/>
  <c r="W10" i="23" a="1"/>
  <c r="W10" i="23" s="1"/>
  <c r="U40" i="23"/>
  <c r="V40" i="23" s="1"/>
  <c r="T16" i="23" a="1"/>
  <c r="T16" i="23" s="1"/>
  <c r="S20" i="23"/>
  <c r="AN20" i="23" s="1"/>
  <c r="T10" i="23" a="1"/>
  <c r="T10" i="23" s="1"/>
  <c r="X33" i="23"/>
  <c r="Y33" i="23" s="1"/>
  <c r="S14" i="23"/>
  <c r="AN14" i="23" s="1"/>
  <c r="X36" i="23"/>
  <c r="Y36" i="23" s="1"/>
  <c r="U36" i="23"/>
  <c r="V36" i="23" s="1"/>
  <c r="X15" i="23"/>
  <c r="U15" i="23"/>
  <c r="U54" i="23"/>
  <c r="V54" i="23" s="1"/>
  <c r="X54" i="23"/>
  <c r="Y54" i="23" s="1"/>
  <c r="U26" i="23"/>
  <c r="X26" i="23"/>
  <c r="U42" i="23"/>
  <c r="V42" i="23" s="1"/>
  <c r="X42" i="23"/>
  <c r="Y42" i="23" s="1"/>
  <c r="U34" i="23"/>
  <c r="V34" i="23" s="1"/>
  <c r="X34" i="23"/>
  <c r="Y34" i="23" s="1"/>
  <c r="U47" i="23"/>
  <c r="V47" i="23" s="1"/>
  <c r="X47" i="23"/>
  <c r="Y47" i="23" s="1"/>
  <c r="U22" i="23"/>
  <c r="X22" i="23"/>
  <c r="U19" i="23"/>
  <c r="X19" i="23"/>
  <c r="X52" i="23"/>
  <c r="Y52" i="23" s="1"/>
  <c r="U52" i="23"/>
  <c r="V52" i="23" s="1"/>
  <c r="U55" i="23"/>
  <c r="V55" i="23" s="1"/>
  <c r="X55" i="23"/>
  <c r="Y55" i="23" s="1"/>
  <c r="X9" i="23"/>
  <c r="U9" i="23"/>
  <c r="U51" i="23"/>
  <c r="V51" i="23" s="1"/>
  <c r="X51" i="23"/>
  <c r="Y51" i="23" s="1"/>
  <c r="U43" i="23"/>
  <c r="V43" i="23" s="1"/>
  <c r="X43" i="23"/>
  <c r="Y43" i="23" s="1"/>
  <c r="X48" i="23"/>
  <c r="Y48" i="23" s="1"/>
  <c r="U48" i="23"/>
  <c r="V48" i="23" s="1"/>
  <c r="T23" i="23" a="1"/>
  <c r="T23" i="23" s="1"/>
  <c r="W22" i="23" a="1"/>
  <c r="W22" i="23" s="1"/>
  <c r="W26" i="23" a="1"/>
  <c r="W26" i="23" s="1"/>
  <c r="W28" i="23" a="1"/>
  <c r="W28" i="23" s="1"/>
  <c r="U44" i="23"/>
  <c r="V44" i="23" s="1"/>
  <c r="W19" i="23" a="1"/>
  <c r="W19" i="23" s="1"/>
  <c r="T22" i="23" a="1"/>
  <c r="T22" i="23" s="1"/>
  <c r="T30" i="23" a="1"/>
  <c r="T30" i="23" s="1"/>
  <c r="S23" i="23"/>
  <c r="AN23" i="23" s="1"/>
  <c r="T9" i="23" a="1"/>
  <c r="T9" i="23" s="1"/>
  <c r="X50" i="23"/>
  <c r="Y50" i="23" s="1"/>
  <c r="W17" i="23" a="1"/>
  <c r="W17" i="23" s="1"/>
  <c r="T17" i="23" a="1"/>
  <c r="T17" i="23" s="1"/>
  <c r="S30" i="23"/>
  <c r="AN30" i="23" s="1"/>
  <c r="W9" i="23" a="1"/>
  <c r="W9" i="23" s="1"/>
  <c r="T19" i="23" a="1"/>
  <c r="T19" i="23" s="1"/>
  <c r="U39" i="23"/>
  <c r="V39" i="23" s="1"/>
  <c r="S24" i="23"/>
  <c r="AN24" i="23" s="1"/>
  <c r="S12" i="23"/>
  <c r="AN12" i="23" s="1"/>
  <c r="S17" i="23"/>
  <c r="AN17" i="23" s="1"/>
  <c r="T12" i="23" a="1"/>
  <c r="T12" i="23" s="1"/>
  <c r="X46" i="23"/>
  <c r="Y46" i="23" s="1"/>
  <c r="J12" i="3"/>
  <c r="J13" i="3"/>
  <c r="S13" i="3"/>
  <c r="N12" i="3"/>
  <c r="AL12" i="3" s="1"/>
  <c r="G13" i="3"/>
  <c r="F13" i="3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R90" i="12"/>
  <c r="S90" i="12"/>
  <c r="T90" i="12"/>
  <c r="U90" i="12"/>
  <c r="V90" i="12"/>
  <c r="W90" i="12"/>
  <c r="X90" i="12"/>
  <c r="Y90" i="12"/>
  <c r="Z90" i="12"/>
  <c r="AA90" i="12"/>
  <c r="AB90" i="12"/>
  <c r="AC90" i="12"/>
  <c r="AD90" i="12"/>
  <c r="AG90" i="12"/>
  <c r="AH90" i="12"/>
  <c r="AI90" i="12"/>
  <c r="AJ90" i="12"/>
  <c r="AK90" i="12"/>
  <c r="AL90" i="12"/>
  <c r="AM90" i="12"/>
  <c r="AN90" i="12"/>
  <c r="AO90" i="12"/>
  <c r="AP90" i="12"/>
  <c r="AQ90" i="12"/>
  <c r="AR90" i="12"/>
  <c r="AS90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R91" i="12"/>
  <c r="S91" i="12"/>
  <c r="T91" i="12"/>
  <c r="U91" i="12"/>
  <c r="V91" i="12"/>
  <c r="W91" i="12"/>
  <c r="X91" i="12"/>
  <c r="Y91" i="12"/>
  <c r="Z91" i="12"/>
  <c r="AA91" i="12"/>
  <c r="AB91" i="12"/>
  <c r="AC91" i="12"/>
  <c r="AD91" i="12"/>
  <c r="AG91" i="12"/>
  <c r="AH91" i="12"/>
  <c r="AI91" i="12"/>
  <c r="AJ91" i="12"/>
  <c r="AK91" i="12"/>
  <c r="AL91" i="12"/>
  <c r="AM91" i="12"/>
  <c r="AN91" i="12"/>
  <c r="AO91" i="12"/>
  <c r="AP91" i="12"/>
  <c r="AQ91" i="12"/>
  <c r="AR91" i="12"/>
  <c r="AS91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R92" i="12"/>
  <c r="S92" i="12"/>
  <c r="T92" i="12"/>
  <c r="U92" i="12"/>
  <c r="V92" i="12"/>
  <c r="W92" i="12"/>
  <c r="X92" i="12"/>
  <c r="Y92" i="12"/>
  <c r="Z92" i="12"/>
  <c r="AA92" i="12"/>
  <c r="AB92" i="12"/>
  <c r="AC92" i="12"/>
  <c r="AD92" i="12"/>
  <c r="AG92" i="12"/>
  <c r="AH92" i="12"/>
  <c r="AI92" i="12"/>
  <c r="AJ92" i="12"/>
  <c r="AK92" i="12"/>
  <c r="AL92" i="12"/>
  <c r="AM92" i="12"/>
  <c r="AN92" i="12"/>
  <c r="AO92" i="12"/>
  <c r="AP92" i="12"/>
  <c r="AQ92" i="12"/>
  <c r="AR92" i="12"/>
  <c r="AS92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R93" i="12"/>
  <c r="S93" i="12"/>
  <c r="T93" i="12"/>
  <c r="U93" i="12"/>
  <c r="V93" i="12"/>
  <c r="W93" i="12"/>
  <c r="X93" i="12"/>
  <c r="Y93" i="12"/>
  <c r="Z93" i="12"/>
  <c r="AA93" i="12"/>
  <c r="AB93" i="12"/>
  <c r="AC93" i="12"/>
  <c r="AD93" i="12"/>
  <c r="AG93" i="12"/>
  <c r="AH93" i="12"/>
  <c r="AI93" i="12"/>
  <c r="AJ93" i="12"/>
  <c r="AK93" i="12"/>
  <c r="AL93" i="12"/>
  <c r="AM93" i="12"/>
  <c r="AN93" i="12"/>
  <c r="AO93" i="12"/>
  <c r="AP93" i="12"/>
  <c r="AQ93" i="12"/>
  <c r="AR93" i="12"/>
  <c r="A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G94" i="12"/>
  <c r="AH94" i="12"/>
  <c r="AI94" i="12"/>
  <c r="AJ94" i="12"/>
  <c r="AK94" i="12"/>
  <c r="AL94" i="12"/>
  <c r="AM94" i="12"/>
  <c r="AN94" i="12"/>
  <c r="AO94" i="12"/>
  <c r="AP94" i="12"/>
  <c r="AQ94" i="12"/>
  <c r="AR94" i="12"/>
  <c r="A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R95" i="12"/>
  <c r="S95" i="12"/>
  <c r="T95" i="12"/>
  <c r="U95" i="12"/>
  <c r="V95" i="12"/>
  <c r="W95" i="12"/>
  <c r="X95" i="12"/>
  <c r="Y95" i="12"/>
  <c r="Z95" i="12"/>
  <c r="AA95" i="12"/>
  <c r="AB95" i="12"/>
  <c r="AC95" i="12"/>
  <c r="AD95" i="12"/>
  <c r="AG95" i="12"/>
  <c r="AH95" i="12"/>
  <c r="AI95" i="12"/>
  <c r="AJ95" i="12"/>
  <c r="AK95" i="12"/>
  <c r="AL95" i="12"/>
  <c r="AM95" i="12"/>
  <c r="AN95" i="12"/>
  <c r="AO95" i="12"/>
  <c r="AP95" i="12"/>
  <c r="AQ95" i="12"/>
  <c r="AR95" i="12"/>
  <c r="A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R96" i="12"/>
  <c r="S96" i="12"/>
  <c r="T96" i="12"/>
  <c r="U96" i="12"/>
  <c r="V96" i="12"/>
  <c r="W96" i="12"/>
  <c r="X96" i="12"/>
  <c r="Y96" i="12"/>
  <c r="Z96" i="12"/>
  <c r="AA96" i="12"/>
  <c r="AB96" i="12"/>
  <c r="AC96" i="12"/>
  <c r="AD96" i="12"/>
  <c r="AG96" i="12"/>
  <c r="AH96" i="12"/>
  <c r="AI96" i="12"/>
  <c r="AJ96" i="12"/>
  <c r="AK96" i="12"/>
  <c r="AL96" i="12"/>
  <c r="AM96" i="12"/>
  <c r="AN96" i="12"/>
  <c r="AO96" i="12"/>
  <c r="AP96" i="12"/>
  <c r="AQ96" i="12"/>
  <c r="AR96" i="12"/>
  <c r="A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R97" i="12"/>
  <c r="S97" i="12"/>
  <c r="T97" i="12"/>
  <c r="U97" i="12"/>
  <c r="V97" i="12"/>
  <c r="W97" i="12"/>
  <c r="X97" i="12"/>
  <c r="Y97" i="12"/>
  <c r="Z97" i="12"/>
  <c r="AA97" i="12"/>
  <c r="AB97" i="12"/>
  <c r="AC97" i="12"/>
  <c r="AD97" i="12"/>
  <c r="AG97" i="12"/>
  <c r="AH97" i="12"/>
  <c r="AI97" i="12"/>
  <c r="AJ97" i="12"/>
  <c r="AK97" i="12"/>
  <c r="AL97" i="12"/>
  <c r="AM97" i="12"/>
  <c r="AN97" i="12"/>
  <c r="AO97" i="12"/>
  <c r="AP97" i="12"/>
  <c r="AQ97" i="12"/>
  <c r="AR97" i="12"/>
  <c r="A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R98" i="12"/>
  <c r="S98" i="12"/>
  <c r="T98" i="12"/>
  <c r="U98" i="12"/>
  <c r="V98" i="12"/>
  <c r="W98" i="12"/>
  <c r="X98" i="12"/>
  <c r="Y98" i="12"/>
  <c r="Z98" i="12"/>
  <c r="AA98" i="12"/>
  <c r="AB98" i="12"/>
  <c r="AC98" i="12"/>
  <c r="AD98" i="12"/>
  <c r="AG98" i="12"/>
  <c r="AH98" i="12"/>
  <c r="AI98" i="12"/>
  <c r="AJ98" i="12"/>
  <c r="AK98" i="12"/>
  <c r="AL98" i="12"/>
  <c r="AM98" i="12"/>
  <c r="AN98" i="12"/>
  <c r="AO98" i="12"/>
  <c r="AP98" i="12"/>
  <c r="AQ98" i="12"/>
  <c r="AR98" i="12"/>
  <c r="A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G99" i="12"/>
  <c r="AH99" i="12"/>
  <c r="AI99" i="12"/>
  <c r="AJ99" i="12"/>
  <c r="AK99" i="12"/>
  <c r="AL99" i="12"/>
  <c r="AM99" i="12"/>
  <c r="AN99" i="12"/>
  <c r="AO99" i="12"/>
  <c r="AP99" i="12"/>
  <c r="AQ99" i="12"/>
  <c r="AR99" i="12"/>
  <c r="A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R100" i="12"/>
  <c r="S100" i="12"/>
  <c r="T100" i="12"/>
  <c r="U100" i="12"/>
  <c r="V100" i="12"/>
  <c r="W100" i="12"/>
  <c r="X100" i="12"/>
  <c r="Y100" i="12"/>
  <c r="Z100" i="12"/>
  <c r="AA100" i="12"/>
  <c r="AB100" i="12"/>
  <c r="AC100" i="12"/>
  <c r="AD100" i="12"/>
  <c r="AG100" i="12"/>
  <c r="AH100" i="12"/>
  <c r="AI100" i="12"/>
  <c r="AJ100" i="12"/>
  <c r="AK100" i="12"/>
  <c r="AL100" i="12"/>
  <c r="AM100" i="12"/>
  <c r="AN100" i="12"/>
  <c r="AO100" i="12"/>
  <c r="AP100" i="12"/>
  <c r="AQ100" i="12"/>
  <c r="AR100" i="12"/>
  <c r="A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R101" i="12"/>
  <c r="S101" i="12"/>
  <c r="T101" i="12"/>
  <c r="U101" i="12"/>
  <c r="V101" i="12"/>
  <c r="W101" i="12"/>
  <c r="X101" i="12"/>
  <c r="Y101" i="12"/>
  <c r="Z101" i="12"/>
  <c r="AA101" i="12"/>
  <c r="AB101" i="12"/>
  <c r="AC101" i="12"/>
  <c r="AD101" i="12"/>
  <c r="AG101" i="12"/>
  <c r="AH101" i="12"/>
  <c r="AI101" i="12"/>
  <c r="AJ101" i="12"/>
  <c r="AK101" i="12"/>
  <c r="AL101" i="12"/>
  <c r="AM101" i="12"/>
  <c r="AN101" i="12"/>
  <c r="AO101" i="12"/>
  <c r="AP101" i="12"/>
  <c r="AQ101" i="12"/>
  <c r="AR101" i="12"/>
  <c r="A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R102" i="12"/>
  <c r="S102" i="12"/>
  <c r="T102" i="12"/>
  <c r="U102" i="12"/>
  <c r="V102" i="12"/>
  <c r="W102" i="12"/>
  <c r="X102" i="12"/>
  <c r="Y102" i="12"/>
  <c r="Z102" i="12"/>
  <c r="AA102" i="12"/>
  <c r="AB102" i="12"/>
  <c r="AC102" i="12"/>
  <c r="AD102" i="12"/>
  <c r="AG102" i="12"/>
  <c r="AH102" i="12"/>
  <c r="AI102" i="12"/>
  <c r="AJ102" i="12"/>
  <c r="AK102" i="12"/>
  <c r="AL102" i="12"/>
  <c r="AM102" i="12"/>
  <c r="AN102" i="12"/>
  <c r="AO102" i="12"/>
  <c r="AP102" i="12"/>
  <c r="AQ102" i="12"/>
  <c r="AR102" i="12"/>
  <c r="A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R103" i="12"/>
  <c r="S103" i="12"/>
  <c r="T103" i="12"/>
  <c r="U103" i="12"/>
  <c r="V103" i="12"/>
  <c r="W103" i="12"/>
  <c r="X103" i="12"/>
  <c r="Y103" i="12"/>
  <c r="Z103" i="12"/>
  <c r="AA103" i="12"/>
  <c r="AB103" i="12"/>
  <c r="AC103" i="12"/>
  <c r="AD103" i="12"/>
  <c r="AG103" i="12"/>
  <c r="AH103" i="12"/>
  <c r="AI103" i="12"/>
  <c r="AJ103" i="12"/>
  <c r="AK103" i="12"/>
  <c r="AL103" i="12"/>
  <c r="AM103" i="12"/>
  <c r="AN103" i="12"/>
  <c r="AO103" i="12"/>
  <c r="AP103" i="12"/>
  <c r="AQ103" i="12"/>
  <c r="AR103" i="12"/>
  <c r="AS103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R104" i="12"/>
  <c r="S104" i="12"/>
  <c r="T104" i="12"/>
  <c r="U104" i="12"/>
  <c r="V104" i="12"/>
  <c r="W104" i="12"/>
  <c r="X104" i="12"/>
  <c r="Y104" i="12"/>
  <c r="Z104" i="12"/>
  <c r="AA104" i="12"/>
  <c r="AB104" i="12"/>
  <c r="AC104" i="12"/>
  <c r="AD104" i="12"/>
  <c r="AG104" i="12"/>
  <c r="AH104" i="12"/>
  <c r="AI104" i="12"/>
  <c r="AJ104" i="12"/>
  <c r="AK104" i="12"/>
  <c r="AL104" i="12"/>
  <c r="AM104" i="12"/>
  <c r="AN104" i="12"/>
  <c r="AO104" i="12"/>
  <c r="AP104" i="12"/>
  <c r="AQ104" i="12"/>
  <c r="AR104" i="12"/>
  <c r="AS104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R105" i="12"/>
  <c r="S105" i="12"/>
  <c r="T105" i="12"/>
  <c r="U105" i="12"/>
  <c r="V105" i="12"/>
  <c r="W105" i="12"/>
  <c r="X105" i="12"/>
  <c r="Y105" i="12"/>
  <c r="Z105" i="12"/>
  <c r="AA105" i="12"/>
  <c r="AB105" i="12"/>
  <c r="AC105" i="12"/>
  <c r="AD105" i="12"/>
  <c r="AG105" i="12"/>
  <c r="AH105" i="12"/>
  <c r="AI105" i="12"/>
  <c r="AJ105" i="12"/>
  <c r="AK105" i="12"/>
  <c r="AL105" i="12"/>
  <c r="AM105" i="12"/>
  <c r="AN105" i="12"/>
  <c r="AO105" i="12"/>
  <c r="AP105" i="12"/>
  <c r="AQ105" i="12"/>
  <c r="AR105" i="12"/>
  <c r="AS105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R106" i="12"/>
  <c r="S106" i="12"/>
  <c r="T106" i="12"/>
  <c r="U106" i="12"/>
  <c r="V106" i="12"/>
  <c r="W106" i="12"/>
  <c r="X106" i="12"/>
  <c r="Y106" i="12"/>
  <c r="Z106" i="12"/>
  <c r="AA106" i="12"/>
  <c r="AB106" i="12"/>
  <c r="AC106" i="12"/>
  <c r="AD106" i="12"/>
  <c r="AG106" i="12"/>
  <c r="AH106" i="12"/>
  <c r="AI106" i="12"/>
  <c r="AJ106" i="12"/>
  <c r="AK106" i="12"/>
  <c r="AL106" i="12"/>
  <c r="AM106" i="12"/>
  <c r="AN106" i="12"/>
  <c r="AO106" i="12"/>
  <c r="AP106" i="12"/>
  <c r="AQ106" i="12"/>
  <c r="AR106" i="12"/>
  <c r="AS106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R107" i="12"/>
  <c r="S107" i="12"/>
  <c r="T107" i="12"/>
  <c r="U107" i="12"/>
  <c r="V107" i="12"/>
  <c r="W107" i="12"/>
  <c r="X107" i="12"/>
  <c r="Y107" i="12"/>
  <c r="Z107" i="12"/>
  <c r="AA107" i="12"/>
  <c r="AB107" i="12"/>
  <c r="AC107" i="12"/>
  <c r="AD107" i="12"/>
  <c r="AG107" i="12"/>
  <c r="AH107" i="12"/>
  <c r="AI107" i="12"/>
  <c r="AJ107" i="12"/>
  <c r="AK107" i="12"/>
  <c r="AL107" i="12"/>
  <c r="AM107" i="12"/>
  <c r="AN107" i="12"/>
  <c r="AO107" i="12"/>
  <c r="AP107" i="12"/>
  <c r="AQ107" i="12"/>
  <c r="AR107" i="12"/>
  <c r="AS107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R108" i="12"/>
  <c r="S108" i="12"/>
  <c r="T108" i="12"/>
  <c r="U108" i="12"/>
  <c r="V108" i="12"/>
  <c r="W108" i="12"/>
  <c r="X108" i="12"/>
  <c r="Y108" i="12"/>
  <c r="Z108" i="12"/>
  <c r="AA108" i="12"/>
  <c r="AB108" i="12"/>
  <c r="AC108" i="12"/>
  <c r="AD108" i="12"/>
  <c r="AG108" i="12"/>
  <c r="AH108" i="12"/>
  <c r="AI108" i="12"/>
  <c r="AJ108" i="12"/>
  <c r="AK108" i="12"/>
  <c r="AL108" i="12"/>
  <c r="AM108" i="12"/>
  <c r="AN108" i="12"/>
  <c r="AO108" i="12"/>
  <c r="AP108" i="12"/>
  <c r="AQ108" i="12"/>
  <c r="AR108" i="12"/>
  <c r="AS108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R109" i="12"/>
  <c r="S109" i="12"/>
  <c r="T109" i="12"/>
  <c r="U109" i="12"/>
  <c r="V109" i="12"/>
  <c r="W109" i="12"/>
  <c r="X109" i="12"/>
  <c r="Y109" i="12"/>
  <c r="Z109" i="12"/>
  <c r="AA109" i="12"/>
  <c r="AB109" i="12"/>
  <c r="AC109" i="12"/>
  <c r="AD109" i="12"/>
  <c r="AG109" i="12"/>
  <c r="AH109" i="12"/>
  <c r="AI109" i="12"/>
  <c r="AJ109" i="12"/>
  <c r="AK109" i="12"/>
  <c r="AL109" i="12"/>
  <c r="AM109" i="12"/>
  <c r="AN109" i="12"/>
  <c r="AO109" i="12"/>
  <c r="AP109" i="12"/>
  <c r="AQ109" i="12"/>
  <c r="AR109" i="12"/>
  <c r="AS109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R110" i="12"/>
  <c r="S110" i="12"/>
  <c r="T110" i="12"/>
  <c r="U110" i="12"/>
  <c r="V110" i="12"/>
  <c r="W110" i="12"/>
  <c r="X110" i="12"/>
  <c r="Y110" i="12"/>
  <c r="Z110" i="12"/>
  <c r="AA110" i="12"/>
  <c r="AB110" i="12"/>
  <c r="AC110" i="12"/>
  <c r="AD110" i="12"/>
  <c r="AG110" i="12"/>
  <c r="AH110" i="12"/>
  <c r="AI110" i="12"/>
  <c r="AJ110" i="12"/>
  <c r="AK110" i="12"/>
  <c r="AL110" i="12"/>
  <c r="AM110" i="12"/>
  <c r="AN110" i="12"/>
  <c r="AO110" i="12"/>
  <c r="AP110" i="12"/>
  <c r="AQ110" i="12"/>
  <c r="AR110" i="12"/>
  <c r="AS110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R111" i="12"/>
  <c r="S111" i="12"/>
  <c r="T111" i="12"/>
  <c r="U111" i="12"/>
  <c r="V111" i="12"/>
  <c r="W111" i="12"/>
  <c r="X111" i="12"/>
  <c r="Y111" i="12"/>
  <c r="Z111" i="12"/>
  <c r="AA111" i="12"/>
  <c r="AB111" i="12"/>
  <c r="AC111" i="12"/>
  <c r="AD111" i="12"/>
  <c r="AG111" i="12"/>
  <c r="AH111" i="12"/>
  <c r="AI111" i="12"/>
  <c r="AJ111" i="12"/>
  <c r="AK111" i="12"/>
  <c r="AL111" i="12"/>
  <c r="AM111" i="12"/>
  <c r="AN111" i="12"/>
  <c r="AO111" i="12"/>
  <c r="AP111" i="12"/>
  <c r="AQ111" i="12"/>
  <c r="AR111" i="12"/>
  <c r="AS111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O112" i="12"/>
  <c r="R112" i="12"/>
  <c r="S112" i="12"/>
  <c r="T112" i="12"/>
  <c r="U112" i="12"/>
  <c r="V112" i="12"/>
  <c r="W112" i="12"/>
  <c r="X112" i="12"/>
  <c r="Y112" i="12"/>
  <c r="Z112" i="12"/>
  <c r="AA112" i="12"/>
  <c r="AB112" i="12"/>
  <c r="AC112" i="12"/>
  <c r="AD112" i="12"/>
  <c r="AG112" i="12"/>
  <c r="AH112" i="12"/>
  <c r="AI112" i="12"/>
  <c r="AJ112" i="12"/>
  <c r="AK112" i="12"/>
  <c r="AL112" i="12"/>
  <c r="AM112" i="12"/>
  <c r="AN112" i="12"/>
  <c r="AO112" i="12"/>
  <c r="AP112" i="12"/>
  <c r="AQ112" i="12"/>
  <c r="AR112" i="12"/>
  <c r="AS112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O113" i="12"/>
  <c r="R113" i="12"/>
  <c r="S113" i="12"/>
  <c r="T113" i="12"/>
  <c r="U113" i="12"/>
  <c r="V113" i="12"/>
  <c r="W113" i="12"/>
  <c r="X113" i="12"/>
  <c r="Y113" i="12"/>
  <c r="Z113" i="12"/>
  <c r="AA113" i="12"/>
  <c r="AB113" i="12"/>
  <c r="AC113" i="12"/>
  <c r="AD113" i="12"/>
  <c r="AG113" i="12"/>
  <c r="AH113" i="12"/>
  <c r="AI113" i="12"/>
  <c r="AJ113" i="12"/>
  <c r="AK113" i="12"/>
  <c r="AL113" i="12"/>
  <c r="AM113" i="12"/>
  <c r="AN113" i="12"/>
  <c r="AO113" i="12"/>
  <c r="AP113" i="12"/>
  <c r="AQ113" i="12"/>
  <c r="AR113" i="12"/>
  <c r="AS113" i="12"/>
  <c r="C114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R114" i="12"/>
  <c r="S114" i="12"/>
  <c r="T114" i="12"/>
  <c r="U114" i="12"/>
  <c r="V114" i="12"/>
  <c r="W114" i="12"/>
  <c r="X114" i="12"/>
  <c r="Y114" i="12"/>
  <c r="Z114" i="12"/>
  <c r="AA114" i="12"/>
  <c r="AB114" i="12"/>
  <c r="AC114" i="12"/>
  <c r="AD114" i="12"/>
  <c r="AG114" i="12"/>
  <c r="AH114" i="12"/>
  <c r="AI114" i="12"/>
  <c r="AJ114" i="12"/>
  <c r="AK114" i="12"/>
  <c r="AL114" i="12"/>
  <c r="AM114" i="12"/>
  <c r="AN114" i="12"/>
  <c r="AO114" i="12"/>
  <c r="AP114" i="12"/>
  <c r="AQ114" i="12"/>
  <c r="AR114" i="12"/>
  <c r="AS114" i="12"/>
  <c r="C115" i="12"/>
  <c r="D115" i="12"/>
  <c r="E115" i="12"/>
  <c r="F115" i="12"/>
  <c r="G115" i="12"/>
  <c r="H115" i="12"/>
  <c r="I115" i="12"/>
  <c r="J115" i="12"/>
  <c r="K115" i="12"/>
  <c r="L115" i="12"/>
  <c r="M115" i="12"/>
  <c r="N115" i="12"/>
  <c r="O115" i="12"/>
  <c r="R115" i="12"/>
  <c r="S115" i="12"/>
  <c r="T115" i="12"/>
  <c r="U115" i="12"/>
  <c r="V115" i="12"/>
  <c r="W115" i="12"/>
  <c r="X115" i="12"/>
  <c r="Y115" i="12"/>
  <c r="Z115" i="12"/>
  <c r="AA115" i="12"/>
  <c r="AB115" i="12"/>
  <c r="AC115" i="12"/>
  <c r="AD115" i="12"/>
  <c r="AG115" i="12"/>
  <c r="AH115" i="12"/>
  <c r="AI115" i="12"/>
  <c r="AJ115" i="12"/>
  <c r="AK115" i="12"/>
  <c r="AL115" i="12"/>
  <c r="AM115" i="12"/>
  <c r="AN115" i="12"/>
  <c r="AO115" i="12"/>
  <c r="AP115" i="12"/>
  <c r="AQ115" i="12"/>
  <c r="AR115" i="12"/>
  <c r="AS115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O116" i="12"/>
  <c r="R116" i="12"/>
  <c r="S116" i="12"/>
  <c r="T116" i="12"/>
  <c r="U116" i="12"/>
  <c r="V116" i="12"/>
  <c r="W116" i="12"/>
  <c r="X116" i="12"/>
  <c r="Y116" i="12"/>
  <c r="Z116" i="12"/>
  <c r="AA116" i="12"/>
  <c r="AB116" i="12"/>
  <c r="AC116" i="12"/>
  <c r="AD116" i="12"/>
  <c r="AG116" i="12"/>
  <c r="AH116" i="12"/>
  <c r="AI116" i="12"/>
  <c r="AJ116" i="12"/>
  <c r="AK116" i="12"/>
  <c r="AL116" i="12"/>
  <c r="AM116" i="12"/>
  <c r="AN116" i="12"/>
  <c r="AO116" i="12"/>
  <c r="AP116" i="12"/>
  <c r="AQ116" i="12"/>
  <c r="AR116" i="12"/>
  <c r="AS116" i="12"/>
  <c r="C117" i="12"/>
  <c r="D117" i="12"/>
  <c r="E117" i="12"/>
  <c r="F117" i="12"/>
  <c r="G117" i="12"/>
  <c r="H117" i="12"/>
  <c r="I117" i="12"/>
  <c r="J117" i="12"/>
  <c r="K117" i="12"/>
  <c r="L117" i="12"/>
  <c r="M117" i="12"/>
  <c r="N117" i="12"/>
  <c r="O117" i="12"/>
  <c r="R117" i="12"/>
  <c r="S117" i="12"/>
  <c r="T117" i="12"/>
  <c r="U117" i="12"/>
  <c r="V117" i="12"/>
  <c r="W117" i="12"/>
  <c r="X117" i="12"/>
  <c r="Y117" i="12"/>
  <c r="Z117" i="12"/>
  <c r="AA117" i="12"/>
  <c r="AB117" i="12"/>
  <c r="AC117" i="12"/>
  <c r="AD117" i="12"/>
  <c r="AG117" i="12"/>
  <c r="AH117" i="12"/>
  <c r="AI117" i="12"/>
  <c r="AJ117" i="12"/>
  <c r="AK117" i="12"/>
  <c r="AL117" i="12"/>
  <c r="AM117" i="12"/>
  <c r="AN117" i="12"/>
  <c r="AO117" i="12"/>
  <c r="AP117" i="12"/>
  <c r="AQ117" i="12"/>
  <c r="AR117" i="12"/>
  <c r="AS117" i="12"/>
  <c r="C118" i="12"/>
  <c r="D118" i="12"/>
  <c r="E118" i="12"/>
  <c r="F118" i="12"/>
  <c r="G118" i="12"/>
  <c r="H118" i="12"/>
  <c r="I118" i="12"/>
  <c r="J118" i="12"/>
  <c r="K118" i="12"/>
  <c r="L118" i="12"/>
  <c r="M118" i="12"/>
  <c r="N118" i="12"/>
  <c r="O118" i="12"/>
  <c r="R118" i="12"/>
  <c r="S118" i="12"/>
  <c r="T118" i="12"/>
  <c r="U118" i="12"/>
  <c r="V118" i="12"/>
  <c r="W118" i="12"/>
  <c r="X118" i="12"/>
  <c r="Y118" i="12"/>
  <c r="Z118" i="12"/>
  <c r="AA118" i="12"/>
  <c r="AB118" i="12"/>
  <c r="AC118" i="12"/>
  <c r="AD118" i="12"/>
  <c r="AG118" i="12"/>
  <c r="AH118" i="12"/>
  <c r="AI118" i="12"/>
  <c r="AJ118" i="12"/>
  <c r="AK118" i="12"/>
  <c r="AL118" i="12"/>
  <c r="AM118" i="12"/>
  <c r="AN118" i="12"/>
  <c r="AO118" i="12"/>
  <c r="AP118" i="12"/>
  <c r="AQ118" i="12"/>
  <c r="AR118" i="12"/>
  <c r="AS118" i="12"/>
  <c r="C119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R119" i="12"/>
  <c r="S119" i="12"/>
  <c r="T119" i="12"/>
  <c r="U119" i="12"/>
  <c r="V119" i="12"/>
  <c r="W119" i="12"/>
  <c r="X119" i="12"/>
  <c r="Y119" i="12"/>
  <c r="Z119" i="12"/>
  <c r="AA119" i="12"/>
  <c r="AB119" i="12"/>
  <c r="AC119" i="12"/>
  <c r="AD119" i="12"/>
  <c r="AG119" i="12"/>
  <c r="AH119" i="12"/>
  <c r="AI119" i="12"/>
  <c r="AJ119" i="12"/>
  <c r="AK119" i="12"/>
  <c r="AL119" i="12"/>
  <c r="AM119" i="12"/>
  <c r="AN119" i="12"/>
  <c r="AO119" i="12"/>
  <c r="AP119" i="12"/>
  <c r="AQ119" i="12"/>
  <c r="AR119" i="12"/>
  <c r="AS119" i="12"/>
  <c r="C120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R120" i="12"/>
  <c r="S120" i="12"/>
  <c r="T120" i="12"/>
  <c r="U120" i="12"/>
  <c r="V120" i="12"/>
  <c r="W120" i="12"/>
  <c r="X120" i="12"/>
  <c r="Y120" i="12"/>
  <c r="Z120" i="12"/>
  <c r="AA120" i="12"/>
  <c r="AB120" i="12"/>
  <c r="AC120" i="12"/>
  <c r="AD120" i="12"/>
  <c r="AG120" i="12"/>
  <c r="AH120" i="12"/>
  <c r="AI120" i="12"/>
  <c r="AJ120" i="12"/>
  <c r="AK120" i="12"/>
  <c r="AL120" i="12"/>
  <c r="AM120" i="12"/>
  <c r="AN120" i="12"/>
  <c r="AO120" i="12"/>
  <c r="AP120" i="12"/>
  <c r="AQ120" i="12"/>
  <c r="AR120" i="12"/>
  <c r="AS120" i="12"/>
  <c r="AF13" i="3" a="1"/>
  <c r="V13" i="3" a="1"/>
  <c r="W13" i="3" a="1"/>
  <c r="AE13" i="3" a="1"/>
  <c r="AE13" i="3" l="1"/>
  <c r="AF13" i="3"/>
  <c r="K156" i="6"/>
  <c r="K155" i="6"/>
  <c r="K154" i="6"/>
  <c r="K153" i="6"/>
  <c r="K152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27" i="6"/>
  <c r="K26" i="6"/>
  <c r="K25" i="6"/>
  <c r="K23" i="6"/>
  <c r="K17" i="6"/>
  <c r="V13" i="3"/>
  <c r="K24" i="6"/>
  <c r="K22" i="6"/>
  <c r="K21" i="6"/>
  <c r="K20" i="6"/>
  <c r="K19" i="6"/>
  <c r="K151" i="6"/>
  <c r="K16" i="6"/>
  <c r="W13" i="3"/>
  <c r="D27" i="2"/>
  <c r="D28" i="2"/>
  <c r="D26" i="2"/>
  <c r="F26" i="2"/>
  <c r="F28" i="2"/>
  <c r="E26" i="2"/>
  <c r="K12" i="3"/>
  <c r="E28" i="2"/>
  <c r="E27" i="2"/>
  <c r="F27" i="2"/>
  <c r="H7" i="3"/>
  <c r="F7" i="3"/>
  <c r="V16" i="26"/>
  <c r="V14" i="26"/>
  <c r="V16" i="30"/>
  <c r="V14" i="30"/>
  <c r="V15" i="30"/>
  <c r="M11" i="6"/>
  <c r="M13" i="6"/>
  <c r="M14" i="6"/>
  <c r="M15" i="6"/>
  <c r="AC9" i="26"/>
  <c r="AC9" i="30"/>
  <c r="M12" i="6"/>
  <c r="U18" i="23"/>
  <c r="V18" i="23" s="1"/>
  <c r="X15" i="30" a="1"/>
  <c r="X15" i="30" s="1"/>
  <c r="AB15" i="30" s="1" a="1"/>
  <c r="AB15" i="30" s="1"/>
  <c r="X14" i="30" a="1"/>
  <c r="X14" i="30" s="1"/>
  <c r="AB14" i="30" s="1" a="1"/>
  <c r="AB14" i="30" s="1"/>
  <c r="X16" i="30" a="1"/>
  <c r="X16" i="30" s="1"/>
  <c r="AB16" i="30" s="1" a="1"/>
  <c r="AB16" i="30" s="1"/>
  <c r="AM9" i="30" a="1"/>
  <c r="AM9" i="30" s="1"/>
  <c r="AH26" i="23"/>
  <c r="X32" i="23"/>
  <c r="Y32" i="23" s="1"/>
  <c r="G75" i="2"/>
  <c r="C80" i="27" s="1"/>
  <c r="G76" i="2"/>
  <c r="G74" i="2"/>
  <c r="X15" i="26" a="1"/>
  <c r="X15" i="26" s="1"/>
  <c r="AB15" i="26" s="1" a="1"/>
  <c r="AB15" i="26" s="1"/>
  <c r="X14" i="26" a="1"/>
  <c r="X14" i="26" s="1"/>
  <c r="AB14" i="26" s="1" a="1"/>
  <c r="AB14" i="26" s="1"/>
  <c r="V11" i="23"/>
  <c r="E18" i="26" a="1"/>
  <c r="E18" i="26" s="1"/>
  <c r="AD32" i="23"/>
  <c r="AE32" i="23" s="1"/>
  <c r="AE29" i="23"/>
  <c r="AH22" i="23"/>
  <c r="X29" i="23"/>
  <c r="Y29" i="23" s="1"/>
  <c r="AG29" i="23"/>
  <c r="AH29" i="23" s="1"/>
  <c r="V13" i="23"/>
  <c r="AH15" i="23"/>
  <c r="AM13" i="3"/>
  <c r="H147" i="6"/>
  <c r="H115" i="6"/>
  <c r="H99" i="6"/>
  <c r="H83" i="6"/>
  <c r="H67" i="6"/>
  <c r="H51" i="6"/>
  <c r="H35" i="6"/>
  <c r="H19" i="6"/>
  <c r="H131" i="6"/>
  <c r="H82" i="6"/>
  <c r="H146" i="6"/>
  <c r="H130" i="6"/>
  <c r="H114" i="6"/>
  <c r="H98" i="6"/>
  <c r="H66" i="6"/>
  <c r="H50" i="6"/>
  <c r="H34" i="6"/>
  <c r="H18" i="6"/>
  <c r="AM12" i="3"/>
  <c r="AK12" i="3"/>
  <c r="H145" i="6"/>
  <c r="H129" i="6"/>
  <c r="H113" i="6"/>
  <c r="H97" i="6"/>
  <c r="H81" i="6"/>
  <c r="H65" i="6"/>
  <c r="H49" i="6"/>
  <c r="H33" i="6"/>
  <c r="H17" i="6"/>
  <c r="H128" i="6"/>
  <c r="H96" i="6"/>
  <c r="H80" i="6"/>
  <c r="H64" i="6"/>
  <c r="H48" i="6"/>
  <c r="H32" i="6"/>
  <c r="H16" i="6"/>
  <c r="AK13" i="3"/>
  <c r="H143" i="6"/>
  <c r="H127" i="6"/>
  <c r="H111" i="6"/>
  <c r="H95" i="6"/>
  <c r="H79" i="6"/>
  <c r="H63" i="6"/>
  <c r="H47" i="6"/>
  <c r="H31" i="6"/>
  <c r="H15" i="6"/>
  <c r="H112" i="6"/>
  <c r="H142" i="6"/>
  <c r="H126" i="6"/>
  <c r="H110" i="6"/>
  <c r="H94" i="6"/>
  <c r="H78" i="6"/>
  <c r="H62" i="6"/>
  <c r="H46" i="6"/>
  <c r="H30" i="6"/>
  <c r="H14" i="6"/>
  <c r="H144" i="6"/>
  <c r="H141" i="6"/>
  <c r="H125" i="6"/>
  <c r="H109" i="6"/>
  <c r="H93" i="6"/>
  <c r="H77" i="6"/>
  <c r="H61" i="6"/>
  <c r="H45" i="6"/>
  <c r="H29" i="6"/>
  <c r="H13" i="6"/>
  <c r="H156" i="6"/>
  <c r="H140" i="6"/>
  <c r="H124" i="6"/>
  <c r="H108" i="6"/>
  <c r="H92" i="6"/>
  <c r="H76" i="6"/>
  <c r="H60" i="6"/>
  <c r="H44" i="6"/>
  <c r="H28" i="6"/>
  <c r="H12" i="6"/>
  <c r="H155" i="6"/>
  <c r="H139" i="6"/>
  <c r="H123" i="6"/>
  <c r="H107" i="6"/>
  <c r="H91" i="6"/>
  <c r="H75" i="6"/>
  <c r="H59" i="6"/>
  <c r="H43" i="6"/>
  <c r="H27" i="6"/>
  <c r="H11" i="6"/>
  <c r="AL13" i="3"/>
  <c r="H154" i="6"/>
  <c r="H138" i="6"/>
  <c r="H122" i="6"/>
  <c r="H106" i="6"/>
  <c r="H90" i="6"/>
  <c r="H74" i="6"/>
  <c r="H58" i="6"/>
  <c r="H42" i="6"/>
  <c r="H26" i="6"/>
  <c r="H153" i="6"/>
  <c r="H137" i="6"/>
  <c r="H121" i="6"/>
  <c r="H57" i="6"/>
  <c r="H152" i="6"/>
  <c r="H136" i="6"/>
  <c r="H120" i="6"/>
  <c r="H104" i="6"/>
  <c r="H88" i="6"/>
  <c r="H72" i="6"/>
  <c r="H40" i="6"/>
  <c r="H24" i="6"/>
  <c r="H89" i="6"/>
  <c r="H73" i="6"/>
  <c r="H41" i="6"/>
  <c r="H25" i="6"/>
  <c r="H56" i="6"/>
  <c r="H151" i="6"/>
  <c r="H135" i="6"/>
  <c r="H119" i="6"/>
  <c r="H103" i="6"/>
  <c r="H87" i="6"/>
  <c r="H71" i="6"/>
  <c r="H55" i="6"/>
  <c r="H39" i="6"/>
  <c r="H23" i="6"/>
  <c r="H150" i="6"/>
  <c r="H134" i="6"/>
  <c r="H118" i="6"/>
  <c r="H102" i="6"/>
  <c r="H86" i="6"/>
  <c r="H70" i="6"/>
  <c r="H54" i="6"/>
  <c r="H38" i="6"/>
  <c r="H22" i="6"/>
  <c r="H105" i="6"/>
  <c r="H149" i="6"/>
  <c r="H133" i="6"/>
  <c r="H117" i="6"/>
  <c r="H101" i="6"/>
  <c r="H85" i="6"/>
  <c r="H69" i="6"/>
  <c r="H53" i="6"/>
  <c r="H37" i="6"/>
  <c r="H21" i="6"/>
  <c r="H148" i="6"/>
  <c r="H132" i="6"/>
  <c r="H116" i="6"/>
  <c r="H100" i="6"/>
  <c r="H84" i="6"/>
  <c r="H68" i="6"/>
  <c r="H52" i="6"/>
  <c r="H36" i="6"/>
  <c r="H20" i="6"/>
  <c r="S12" i="3"/>
  <c r="H10" i="6"/>
  <c r="N7" i="3"/>
  <c r="F95" i="27" s="1"/>
  <c r="H95" i="27" s="1"/>
  <c r="J7" i="3"/>
  <c r="AC7" i="3"/>
  <c r="L10" i="6"/>
  <c r="L8" i="6" s="1" a="1"/>
  <c r="L8" i="6" s="1"/>
  <c r="U21" i="23"/>
  <c r="V21" i="23" s="1"/>
  <c r="AN21" i="23"/>
  <c r="U25" i="23"/>
  <c r="V25" i="23" s="1"/>
  <c r="AN25" i="23"/>
  <c r="Y11" i="23"/>
  <c r="AH19" i="23"/>
  <c r="U27" i="23"/>
  <c r="V27" i="23" s="1"/>
  <c r="AN27" i="23"/>
  <c r="X8" i="23"/>
  <c r="Y8" i="23" s="1"/>
  <c r="AN8" i="23"/>
  <c r="X31" i="23"/>
  <c r="Y31" i="23" s="1"/>
  <c r="AN31" i="23"/>
  <c r="U32" i="23"/>
  <c r="V32" i="23" s="1"/>
  <c r="AN32" i="23"/>
  <c r="X28" i="23"/>
  <c r="Y28" i="23" s="1"/>
  <c r="AN28" i="23"/>
  <c r="X13" i="23"/>
  <c r="Y13" i="23" s="1"/>
  <c r="AN13" i="23"/>
  <c r="U29" i="23"/>
  <c r="V29" i="23" s="1"/>
  <c r="AN29" i="23"/>
  <c r="AG25" i="23"/>
  <c r="AH25" i="23" s="1"/>
  <c r="AG21" i="23"/>
  <c r="AH21" i="23" s="1"/>
  <c r="X25" i="23"/>
  <c r="Y25" i="23" s="1"/>
  <c r="U8" i="23"/>
  <c r="V8" i="23" s="1"/>
  <c r="X21" i="23"/>
  <c r="Y21" i="23" s="1"/>
  <c r="AG8" i="23"/>
  <c r="AH8" i="23" s="1"/>
  <c r="AE19" i="23"/>
  <c r="AD8" i="23"/>
  <c r="AE8" i="23" s="1"/>
  <c r="AD25" i="23"/>
  <c r="AE25" i="23" s="1"/>
  <c r="AD21" i="23"/>
  <c r="AE21" i="23" s="1"/>
  <c r="AH10" i="23"/>
  <c r="V15" i="23"/>
  <c r="X12" i="3" a="1"/>
  <c r="X12" i="3" s="1"/>
  <c r="Q12" i="3"/>
  <c r="X13" i="3" a="1"/>
  <c r="X13" i="3" s="1"/>
  <c r="AD13" i="23"/>
  <c r="AE13" i="23" s="1"/>
  <c r="X18" i="23"/>
  <c r="Y18" i="23" s="1"/>
  <c r="AG18" i="23"/>
  <c r="AH18" i="23" s="1"/>
  <c r="AD18" i="23"/>
  <c r="AE18" i="23" s="1"/>
  <c r="Y9" i="23"/>
  <c r="AE26" i="23"/>
  <c r="AH11" i="23"/>
  <c r="AH9" i="23"/>
  <c r="AG13" i="23"/>
  <c r="AH13" i="23" s="1"/>
  <c r="AD23" i="23"/>
  <c r="AE23" i="23" s="1"/>
  <c r="AG23" i="23"/>
  <c r="AH23" i="23" s="1"/>
  <c r="AG14" i="23"/>
  <c r="AH14" i="23" s="1"/>
  <c r="AD14" i="23"/>
  <c r="AE14" i="23" s="1"/>
  <c r="AG30" i="23"/>
  <c r="AH30" i="23" s="1"/>
  <c r="AD30" i="23"/>
  <c r="AE30" i="23" s="1"/>
  <c r="U28" i="23"/>
  <c r="V28" i="23" s="1"/>
  <c r="AG28" i="23"/>
  <c r="AH28" i="23" s="1"/>
  <c r="AD28" i="23"/>
  <c r="AE28" i="23" s="1"/>
  <c r="X27" i="23"/>
  <c r="Y27" i="23" s="1"/>
  <c r="AG27" i="23"/>
  <c r="AH27" i="23" s="1"/>
  <c r="AD27" i="23"/>
  <c r="AE27" i="23" s="1"/>
  <c r="AE15" i="23"/>
  <c r="X16" i="23"/>
  <c r="Y16" i="23" s="1"/>
  <c r="AD16" i="23"/>
  <c r="AE16" i="23" s="1"/>
  <c r="AG16" i="23"/>
  <c r="AH16" i="23" s="1"/>
  <c r="AG12" i="23"/>
  <c r="AH12" i="23" s="1"/>
  <c r="AD12" i="23"/>
  <c r="AE12" i="23" s="1"/>
  <c r="AD24" i="23"/>
  <c r="AE24" i="23" s="1"/>
  <c r="AG24" i="23"/>
  <c r="AH24" i="23" s="1"/>
  <c r="U31" i="23"/>
  <c r="V31" i="23" s="1"/>
  <c r="AD31" i="23"/>
  <c r="AE31" i="23" s="1"/>
  <c r="AG31" i="23"/>
  <c r="AH31" i="23" s="1"/>
  <c r="AD20" i="23"/>
  <c r="AE20" i="23" s="1"/>
  <c r="AG20" i="23"/>
  <c r="AH20" i="23" s="1"/>
  <c r="AD17" i="23"/>
  <c r="AE17" i="23" s="1"/>
  <c r="AG17" i="23"/>
  <c r="AH17" i="23" s="1"/>
  <c r="V26" i="23"/>
  <c r="AE11" i="23"/>
  <c r="M12" i="3"/>
  <c r="Q13" i="3"/>
  <c r="M13" i="3"/>
  <c r="K13" i="3"/>
  <c r="Y15" i="23"/>
  <c r="U16" i="23"/>
  <c r="V16" i="23" s="1"/>
  <c r="V10" i="23"/>
  <c r="Y10" i="23"/>
  <c r="Y26" i="23"/>
  <c r="U14" i="23"/>
  <c r="V14" i="23" s="1"/>
  <c r="X14" i="23"/>
  <c r="Y14" i="23" s="1"/>
  <c r="Y22" i="23"/>
  <c r="V22" i="23"/>
  <c r="U20" i="23"/>
  <c r="V20" i="23" s="1"/>
  <c r="X20" i="23"/>
  <c r="Y20" i="23" s="1"/>
  <c r="U23" i="23"/>
  <c r="V23" i="23" s="1"/>
  <c r="X23" i="23"/>
  <c r="Y23" i="23" s="1"/>
  <c r="U12" i="23"/>
  <c r="V12" i="23" s="1"/>
  <c r="X12" i="23"/>
  <c r="Y12" i="23" s="1"/>
  <c r="V19" i="23"/>
  <c r="Y19" i="23"/>
  <c r="U30" i="23"/>
  <c r="V30" i="23" s="1"/>
  <c r="X30" i="23"/>
  <c r="Y30" i="23" s="1"/>
  <c r="U24" i="23"/>
  <c r="V24" i="23" s="1"/>
  <c r="X24" i="23"/>
  <c r="Y24" i="23" s="1"/>
  <c r="U17" i="23"/>
  <c r="V17" i="23" s="1"/>
  <c r="X17" i="23"/>
  <c r="Y17" i="23" s="1"/>
  <c r="V9" i="23"/>
  <c r="N70" i="6" l="1"/>
  <c r="N46" i="6"/>
  <c r="N65" i="6"/>
  <c r="N98" i="6"/>
  <c r="N27" i="6"/>
  <c r="N57" i="6"/>
  <c r="N136" i="6"/>
  <c r="N29" i="6"/>
  <c r="N50" i="6"/>
  <c r="N32" i="6"/>
  <c r="N33" i="6"/>
  <c r="N59" i="6"/>
  <c r="N31" i="6"/>
  <c r="N51" i="6"/>
  <c r="N154" i="6"/>
  <c r="N80" i="6"/>
  <c r="N108" i="6"/>
  <c r="N52" i="6"/>
  <c r="N140" i="6"/>
  <c r="N99" i="6"/>
  <c r="N119" i="6"/>
  <c r="N47" i="6"/>
  <c r="N85" i="6"/>
  <c r="N68" i="6"/>
  <c r="N153" i="6"/>
  <c r="N91" i="6"/>
  <c r="N120" i="6"/>
  <c r="N148" i="6"/>
  <c r="N149" i="6"/>
  <c r="N122" i="6"/>
  <c r="N87" i="6"/>
  <c r="N115" i="6"/>
  <c r="N143" i="6"/>
  <c r="N69" i="6"/>
  <c r="N106" i="6"/>
  <c r="N62" i="6"/>
  <c r="N100" i="6"/>
  <c r="N128" i="6"/>
  <c r="N110" i="6"/>
  <c r="N138" i="6"/>
  <c r="N102" i="6"/>
  <c r="N150" i="6"/>
  <c r="N48" i="6"/>
  <c r="N67" i="6"/>
  <c r="N58" i="6"/>
  <c r="N86" i="6"/>
  <c r="N152" i="6"/>
  <c r="N60" i="6"/>
  <c r="N88" i="6"/>
  <c r="N107" i="6"/>
  <c r="N155" i="6"/>
  <c r="N53" i="6"/>
  <c r="N109" i="6"/>
  <c r="N63" i="6"/>
  <c r="N147" i="6"/>
  <c r="N82" i="6"/>
  <c r="N83" i="6"/>
  <c r="N111" i="6"/>
  <c r="N56" i="6"/>
  <c r="N84" i="6"/>
  <c r="N112" i="6"/>
  <c r="N45" i="6"/>
  <c r="N103" i="6"/>
  <c r="N131" i="6"/>
  <c r="N66" i="6"/>
  <c r="N75" i="6"/>
  <c r="N113" i="6"/>
  <c r="N104" i="6"/>
  <c r="N114" i="6"/>
  <c r="N142" i="6"/>
  <c r="N39" i="6"/>
  <c r="N96" i="6"/>
  <c r="N124" i="6"/>
  <c r="N30" i="6"/>
  <c r="N78" i="6"/>
  <c r="N125" i="6"/>
  <c r="N79" i="6"/>
  <c r="N117" i="6"/>
  <c r="N145" i="6"/>
  <c r="N127" i="6"/>
  <c r="N44" i="6"/>
  <c r="N35" i="6"/>
  <c r="N54" i="6"/>
  <c r="N73" i="6"/>
  <c r="N101" i="6"/>
  <c r="N129" i="6"/>
  <c r="N64" i="6"/>
  <c r="N92" i="6"/>
  <c r="N139" i="6"/>
  <c r="N55" i="6"/>
  <c r="N36" i="6"/>
  <c r="N74" i="6"/>
  <c r="N130" i="6"/>
  <c r="N93" i="6"/>
  <c r="N121" i="6"/>
  <c r="N37" i="6"/>
  <c r="N94" i="6"/>
  <c r="N141" i="6"/>
  <c r="N76" i="6"/>
  <c r="N132" i="6"/>
  <c r="N151" i="6"/>
  <c r="N38" i="6"/>
  <c r="N95" i="6"/>
  <c r="N123" i="6"/>
  <c r="N49" i="6"/>
  <c r="N77" i="6"/>
  <c r="N105" i="6"/>
  <c r="N133" i="6"/>
  <c r="N40" i="6"/>
  <c r="N134" i="6"/>
  <c r="N97" i="6"/>
  <c r="N116" i="6"/>
  <c r="N144" i="6"/>
  <c r="N41" i="6"/>
  <c r="N126" i="6"/>
  <c r="N135" i="6"/>
  <c r="N42" i="6"/>
  <c r="N61" i="6"/>
  <c r="N89" i="6"/>
  <c r="N71" i="6"/>
  <c r="N90" i="6"/>
  <c r="N118" i="6"/>
  <c r="N146" i="6"/>
  <c r="N43" i="6"/>
  <c r="N34" i="6"/>
  <c r="N72" i="6"/>
  <c r="N81" i="6"/>
  <c r="N137" i="6"/>
  <c r="N156" i="6"/>
  <c r="N25" i="6"/>
  <c r="N26" i="6"/>
  <c r="N28" i="6"/>
  <c r="K32" i="6"/>
  <c r="K33" i="6"/>
  <c r="K53" i="6"/>
  <c r="K41" i="6"/>
  <c r="K43" i="6"/>
  <c r="K46" i="6"/>
  <c r="K51" i="6"/>
  <c r="K38" i="6"/>
  <c r="K44" i="6"/>
  <c r="K39" i="6"/>
  <c r="K47" i="6"/>
  <c r="K48" i="6"/>
  <c r="K42" i="6"/>
  <c r="K40" i="6"/>
  <c r="K45" i="6"/>
  <c r="K49" i="6"/>
  <c r="K50" i="6"/>
  <c r="K52" i="6"/>
  <c r="N22" i="6"/>
  <c r="K28" i="6"/>
  <c r="N21" i="6"/>
  <c r="AE7" i="3"/>
  <c r="F108" i="27" s="1"/>
  <c r="H108" i="27" s="1"/>
  <c r="N23" i="6"/>
  <c r="N20" i="6"/>
  <c r="N19" i="6"/>
  <c r="N24" i="6"/>
  <c r="K36" i="6"/>
  <c r="K29" i="6"/>
  <c r="K35" i="6"/>
  <c r="K31" i="6"/>
  <c r="K34" i="6"/>
  <c r="K30" i="6"/>
  <c r="K37" i="6"/>
  <c r="K18" i="6"/>
  <c r="N18" i="6"/>
  <c r="N17" i="6"/>
  <c r="N16" i="6"/>
  <c r="N12" i="6"/>
  <c r="N14" i="6"/>
  <c r="G28" i="2"/>
  <c r="D11" i="27" s="1"/>
  <c r="G26" i="2"/>
  <c r="D10" i="27" s="1"/>
  <c r="G27" i="2"/>
  <c r="L41" i="27" s="1"/>
  <c r="F105" i="27"/>
  <c r="H105" i="27" s="1"/>
  <c r="N13" i="6"/>
  <c r="F91" i="27"/>
  <c r="H91" i="27" s="1"/>
  <c r="AA14" i="30" a="1"/>
  <c r="AA14" i="30" s="1"/>
  <c r="AA14" i="26" a="1"/>
  <c r="AA14" i="26" s="1"/>
  <c r="Y12" i="3"/>
  <c r="AA12" i="3"/>
  <c r="Z12" i="3"/>
  <c r="AD9" i="26"/>
  <c r="AD9" i="30"/>
  <c r="Y13" i="3"/>
  <c r="AA13" i="3"/>
  <c r="Z13" i="3"/>
  <c r="M10" i="6"/>
  <c r="M8" i="6" s="1" a="1"/>
  <c r="M8" i="6" s="1"/>
  <c r="AD7" i="3"/>
  <c r="F106" i="27" s="1"/>
  <c r="H106" i="27" s="1"/>
  <c r="AA16" i="30" a="1"/>
  <c r="AA16" i="30" s="1"/>
  <c r="Z16" i="30" a="1"/>
  <c r="Z16" i="30" s="1"/>
  <c r="Y16" i="30" a="1"/>
  <c r="Y16" i="30" s="1"/>
  <c r="AF9" i="30"/>
  <c r="Z14" i="30" a="1"/>
  <c r="Z14" i="30" s="1"/>
  <c r="Y14" i="30" a="1"/>
  <c r="Y14" i="30" s="1"/>
  <c r="Z15" i="30" a="1"/>
  <c r="Z15" i="30" s="1"/>
  <c r="Y15" i="30" a="1"/>
  <c r="Y15" i="30" s="1"/>
  <c r="AA15" i="30" a="1"/>
  <c r="AA15" i="30" s="1"/>
  <c r="E16" i="26" a="1"/>
  <c r="E16" i="26" s="1"/>
  <c r="AM9" i="26" a="1"/>
  <c r="AM9" i="26" s="1"/>
  <c r="V9" i="30"/>
  <c r="W9" i="30"/>
  <c r="X9" i="30"/>
  <c r="AE9" i="30"/>
  <c r="C79" i="27"/>
  <c r="AA15" i="26" a="1"/>
  <c r="AA15" i="26" s="1"/>
  <c r="Y15" i="26" a="1"/>
  <c r="Y15" i="26" s="1"/>
  <c r="Z15" i="26" a="1"/>
  <c r="Z15" i="26" s="1"/>
  <c r="C73" i="20"/>
  <c r="Z14" i="26" a="1"/>
  <c r="Z14" i="26" s="1"/>
  <c r="Y14" i="26" a="1"/>
  <c r="Y14" i="26" s="1"/>
  <c r="G77" i="2"/>
  <c r="V9" i="26"/>
  <c r="W9" i="26"/>
  <c r="K15" i="6"/>
  <c r="X9" i="26"/>
  <c r="E17" i="26" a="1"/>
  <c r="E17" i="26" s="1"/>
  <c r="AE9" i="26"/>
  <c r="AF9" i="26"/>
  <c r="AF7" i="3"/>
  <c r="F109" i="27" s="1"/>
  <c r="K14" i="6"/>
  <c r="N11" i="6"/>
  <c r="N15" i="6"/>
  <c r="N10" i="6"/>
  <c r="H8" i="6" a="1"/>
  <c r="H8" i="6" s="1"/>
  <c r="S7" i="3"/>
  <c r="G7" i="3"/>
  <c r="F93" i="27" s="1"/>
  <c r="H93" i="27" s="1"/>
  <c r="G10" i="6"/>
  <c r="R12" i="3"/>
  <c r="I141" i="6"/>
  <c r="I77" i="6"/>
  <c r="I86" i="6"/>
  <c r="I156" i="6"/>
  <c r="I135" i="6"/>
  <c r="I52" i="6"/>
  <c r="I129" i="6"/>
  <c r="I61" i="6"/>
  <c r="I71" i="6"/>
  <c r="I60" i="6"/>
  <c r="I58" i="6"/>
  <c r="I123" i="6"/>
  <c r="I91" i="6"/>
  <c r="I19" i="6"/>
  <c r="I122" i="6"/>
  <c r="I136" i="6"/>
  <c r="I27" i="6"/>
  <c r="I50" i="6"/>
  <c r="I142" i="6"/>
  <c r="I132" i="6"/>
  <c r="I49" i="6"/>
  <c r="I144" i="6"/>
  <c r="I21" i="6"/>
  <c r="I145" i="6"/>
  <c r="I47" i="6"/>
  <c r="I55" i="6"/>
  <c r="I44" i="6"/>
  <c r="I70" i="6"/>
  <c r="I89" i="6"/>
  <c r="I107" i="6"/>
  <c r="I88" i="6"/>
  <c r="I53" i="6"/>
  <c r="I62" i="6"/>
  <c r="I154" i="6"/>
  <c r="I138" i="6"/>
  <c r="I82" i="6"/>
  <c r="I24" i="6"/>
  <c r="I105" i="6"/>
  <c r="I104" i="6"/>
  <c r="I118" i="6"/>
  <c r="I69" i="6"/>
  <c r="I152" i="6"/>
  <c r="I150" i="6"/>
  <c r="R13" i="3"/>
  <c r="I11" i="6" s="1"/>
  <c r="I26" i="6"/>
  <c r="I85" i="6"/>
  <c r="I151" i="6"/>
  <c r="I113" i="6"/>
  <c r="I119" i="6"/>
  <c r="I75" i="6"/>
  <c r="I108" i="6"/>
  <c r="I125" i="6"/>
  <c r="I110" i="6"/>
  <c r="I140" i="6"/>
  <c r="I73" i="6"/>
  <c r="I117" i="6"/>
  <c r="I74" i="6"/>
  <c r="I38" i="6"/>
  <c r="I120" i="6"/>
  <c r="I112" i="6"/>
  <c r="I146" i="6"/>
  <c r="I134" i="6"/>
  <c r="I39" i="6"/>
  <c r="I90" i="6"/>
  <c r="I101" i="6"/>
  <c r="I40" i="6"/>
  <c r="I124" i="6"/>
  <c r="I127" i="6"/>
  <c r="I33" i="6"/>
  <c r="I114" i="6"/>
  <c r="I41" i="6"/>
  <c r="I121" i="6"/>
  <c r="I72" i="6"/>
  <c r="I22" i="6"/>
  <c r="I23" i="6"/>
  <c r="I29" i="6"/>
  <c r="I137" i="6"/>
  <c r="I32" i="6"/>
  <c r="I28" i="6"/>
  <c r="I45" i="6"/>
  <c r="I128" i="6"/>
  <c r="I149" i="6"/>
  <c r="I35" i="6"/>
  <c r="I98" i="6"/>
  <c r="I34" i="6"/>
  <c r="I56" i="6"/>
  <c r="I87" i="6"/>
  <c r="I43" i="6"/>
  <c r="I76" i="6"/>
  <c r="I93" i="6"/>
  <c r="I80" i="6"/>
  <c r="I102" i="6"/>
  <c r="I106" i="6"/>
  <c r="I42" i="6"/>
  <c r="I66" i="6"/>
  <c r="I81" i="6"/>
  <c r="I103" i="6"/>
  <c r="I59" i="6"/>
  <c r="I92" i="6"/>
  <c r="I109" i="6"/>
  <c r="I95" i="6"/>
  <c r="I148" i="6"/>
  <c r="I25" i="6"/>
  <c r="I155" i="6"/>
  <c r="I83" i="6"/>
  <c r="I116" i="6"/>
  <c r="I100" i="6"/>
  <c r="I16" i="6"/>
  <c r="I18" i="6"/>
  <c r="I143" i="6"/>
  <c r="I63" i="6"/>
  <c r="I99" i="6"/>
  <c r="I65" i="6"/>
  <c r="I133" i="6"/>
  <c r="I79" i="6"/>
  <c r="I20" i="6"/>
  <c r="I51" i="6"/>
  <c r="I46" i="6"/>
  <c r="I130" i="6"/>
  <c r="I139" i="6"/>
  <c r="I68" i="6"/>
  <c r="I37" i="6"/>
  <c r="I78" i="6"/>
  <c r="I131" i="6"/>
  <c r="I36" i="6"/>
  <c r="I96" i="6"/>
  <c r="I30" i="6"/>
  <c r="I126" i="6"/>
  <c r="I15" i="6"/>
  <c r="I64" i="6"/>
  <c r="I17" i="6"/>
  <c r="I147" i="6"/>
  <c r="I67" i="6"/>
  <c r="I14" i="6"/>
  <c r="I111" i="6"/>
  <c r="I84" i="6"/>
  <c r="I48" i="6"/>
  <c r="I115" i="6"/>
  <c r="I94" i="6"/>
  <c r="I54" i="6"/>
  <c r="I153" i="6"/>
  <c r="I57" i="6"/>
  <c r="I31" i="6"/>
  <c r="I97" i="6"/>
  <c r="C65" i="20"/>
  <c r="D66" i="20"/>
  <c r="D67" i="20"/>
  <c r="D68" i="20"/>
  <c r="C53" i="12"/>
  <c r="C52" i="12" s="1"/>
  <c r="E53" i="12"/>
  <c r="E52" i="12" s="1"/>
  <c r="G53" i="12"/>
  <c r="G52" i="12" s="1"/>
  <c r="I53" i="12"/>
  <c r="I52" i="12" s="1"/>
  <c r="C40" i="6"/>
  <c r="Q7" i="3" l="1"/>
  <c r="D9" i="27"/>
  <c r="C66" i="20"/>
  <c r="E12" i="3" a="1"/>
  <c r="E12" i="3" s="1"/>
  <c r="H107" i="27"/>
  <c r="F107" i="27"/>
  <c r="Y7" i="3"/>
  <c r="AB7" i="3"/>
  <c r="F101" i="27" s="1"/>
  <c r="H101" i="27" s="1"/>
  <c r="Z9" i="30"/>
  <c r="E15" i="30" a="1"/>
  <c r="E15" i="30" s="1"/>
  <c r="Y9" i="30"/>
  <c r="E14" i="30" a="1"/>
  <c r="E14" i="30" s="1"/>
  <c r="E16" i="30" a="1"/>
  <c r="E16" i="30" s="1"/>
  <c r="E15" i="26" a="1"/>
  <c r="E15" i="26" s="1"/>
  <c r="E14" i="26" a="1"/>
  <c r="E14" i="26" s="1"/>
  <c r="AA9" i="30"/>
  <c r="AB9" i="30"/>
  <c r="F110" i="27"/>
  <c r="H109" i="27"/>
  <c r="H110" i="27" s="1"/>
  <c r="Y9" i="26"/>
  <c r="AB9" i="26"/>
  <c r="E19" i="26" a="1"/>
  <c r="E19" i="26" s="1"/>
  <c r="J64" i="6"/>
  <c r="Z9" i="26"/>
  <c r="AA9" i="26"/>
  <c r="J17" i="6"/>
  <c r="J95" i="6"/>
  <c r="J81" i="6"/>
  <c r="J32" i="6"/>
  <c r="J112" i="6"/>
  <c r="J79" i="6"/>
  <c r="J144" i="6"/>
  <c r="J145" i="6"/>
  <c r="J16" i="6"/>
  <c r="J31" i="6"/>
  <c r="J126" i="6"/>
  <c r="N8" i="6" a="1"/>
  <c r="N8" i="6" s="1"/>
  <c r="J125" i="6"/>
  <c r="J45" i="6"/>
  <c r="J61" i="6"/>
  <c r="J30" i="6"/>
  <c r="J97" i="6"/>
  <c r="J141" i="6"/>
  <c r="J62" i="6"/>
  <c r="J128" i="6"/>
  <c r="J93" i="6"/>
  <c r="J113" i="6"/>
  <c r="J88" i="6"/>
  <c r="J150" i="6"/>
  <c r="J142" i="6"/>
  <c r="J122" i="6"/>
  <c r="J28" i="6"/>
  <c r="J90" i="6"/>
  <c r="J29" i="6"/>
  <c r="J47" i="6"/>
  <c r="J22" i="6"/>
  <c r="J15" i="6"/>
  <c r="J65" i="6"/>
  <c r="J49" i="6"/>
  <c r="J48" i="6"/>
  <c r="J129" i="6"/>
  <c r="J94" i="6"/>
  <c r="J138" i="6"/>
  <c r="M7" i="3"/>
  <c r="J96" i="6"/>
  <c r="J109" i="6"/>
  <c r="J127" i="6"/>
  <c r="J67" i="6"/>
  <c r="J24" i="6"/>
  <c r="J117" i="6"/>
  <c r="J86" i="6"/>
  <c r="J149" i="6"/>
  <c r="J130" i="6"/>
  <c r="J80" i="6"/>
  <c r="J137" i="6"/>
  <c r="J18" i="6"/>
  <c r="J26" i="6"/>
  <c r="J34" i="6"/>
  <c r="J132" i="6"/>
  <c r="J153" i="6"/>
  <c r="J20" i="6"/>
  <c r="X7" i="3"/>
  <c r="J140" i="6"/>
  <c r="J76" i="6"/>
  <c r="J155" i="6"/>
  <c r="J116" i="6"/>
  <c r="J107" i="6"/>
  <c r="J59" i="6"/>
  <c r="J57" i="6"/>
  <c r="J46" i="6"/>
  <c r="J77" i="6"/>
  <c r="J102" i="6"/>
  <c r="J58" i="6"/>
  <c r="K7" i="3"/>
  <c r="J39" i="6"/>
  <c r="J106" i="6"/>
  <c r="J11" i="6"/>
  <c r="J42" i="6"/>
  <c r="J33" i="6"/>
  <c r="J103" i="6"/>
  <c r="J99" i="6"/>
  <c r="J23" i="6"/>
  <c r="J56" i="6"/>
  <c r="J37" i="6"/>
  <c r="J147" i="6"/>
  <c r="J69" i="6"/>
  <c r="J133" i="6"/>
  <c r="J55" i="6"/>
  <c r="J124" i="6"/>
  <c r="J134" i="6"/>
  <c r="J54" i="6"/>
  <c r="J85" i="6"/>
  <c r="J108" i="6"/>
  <c r="J100" i="6"/>
  <c r="J68" i="6"/>
  <c r="J74" i="6"/>
  <c r="J152" i="6"/>
  <c r="J41" i="6"/>
  <c r="J123" i="6"/>
  <c r="J139" i="6"/>
  <c r="J111" i="6"/>
  <c r="J115" i="6"/>
  <c r="J83" i="6"/>
  <c r="J105" i="6"/>
  <c r="J82" i="6"/>
  <c r="J53" i="6"/>
  <c r="J89" i="6"/>
  <c r="J63" i="6"/>
  <c r="J118" i="6"/>
  <c r="J44" i="6"/>
  <c r="J84" i="6"/>
  <c r="J143" i="6"/>
  <c r="J92" i="6"/>
  <c r="J66" i="6"/>
  <c r="J154" i="6"/>
  <c r="J91" i="6"/>
  <c r="J14" i="6"/>
  <c r="J151" i="6"/>
  <c r="J36" i="6"/>
  <c r="J131" i="6"/>
  <c r="J10" i="6"/>
  <c r="J136" i="6"/>
  <c r="J19" i="6"/>
  <c r="J120" i="6"/>
  <c r="J121" i="6"/>
  <c r="J114" i="6"/>
  <c r="J52" i="6"/>
  <c r="J101" i="6"/>
  <c r="J119" i="6"/>
  <c r="J50" i="6"/>
  <c r="J25" i="6"/>
  <c r="J148" i="6"/>
  <c r="J75" i="6"/>
  <c r="J87" i="6"/>
  <c r="J71" i="6"/>
  <c r="J104" i="6"/>
  <c r="J35" i="6"/>
  <c r="J40" i="6"/>
  <c r="J73" i="6"/>
  <c r="J70" i="6"/>
  <c r="J135" i="6"/>
  <c r="J51" i="6"/>
  <c r="J72" i="6"/>
  <c r="J21" i="6"/>
  <c r="J78" i="6"/>
  <c r="J146" i="6"/>
  <c r="J156" i="6"/>
  <c r="J98" i="6"/>
  <c r="J60" i="6"/>
  <c r="J38" i="6"/>
  <c r="J43" i="6"/>
  <c r="J27" i="6"/>
  <c r="J110" i="6"/>
  <c r="I10" i="6"/>
  <c r="I13" i="6"/>
  <c r="I12" i="6"/>
  <c r="J12" i="6" l="1"/>
  <c r="Z7" i="3"/>
  <c r="D8" i="30"/>
  <c r="K41" i="27" s="1"/>
  <c r="M41" i="27" s="1"/>
  <c r="F92" i="27"/>
  <c r="H92" i="27" s="1"/>
  <c r="H94" i="27" s="1"/>
  <c r="F99" i="27"/>
  <c r="H99" i="27" s="1"/>
  <c r="R7" i="3"/>
  <c r="F96" i="27" s="1"/>
  <c r="J13" i="6"/>
  <c r="I8" i="6" a="1"/>
  <c r="I8" i="6" s="1"/>
  <c r="AA7" i="3"/>
  <c r="J8" i="6" l="1" a="1"/>
  <c r="J8" i="6" s="1"/>
  <c r="F94" i="27"/>
  <c r="H96" i="27"/>
  <c r="F100" i="27"/>
  <c r="C119" i="27"/>
  <c r="G73" i="2"/>
  <c r="H100" i="27" l="1"/>
  <c r="D74" i="20"/>
  <c r="D73" i="20"/>
  <c r="F73" i="2"/>
  <c r="E73" i="2"/>
  <c r="D73" i="2"/>
  <c r="I55" i="12" l="1"/>
  <c r="J55" i="12" s="1"/>
  <c r="G55" i="12"/>
  <c r="H55" i="12" s="1"/>
  <c r="E55" i="12"/>
  <c r="I56" i="12"/>
  <c r="J56" i="12" s="1"/>
  <c r="G56" i="12"/>
  <c r="H56" i="12" s="1"/>
  <c r="E56" i="12"/>
  <c r="I57" i="12"/>
  <c r="J57" i="12" s="1"/>
  <c r="G57" i="12"/>
  <c r="H57" i="12" s="1"/>
  <c r="E57" i="12"/>
  <c r="I58" i="12"/>
  <c r="J58" i="12" s="1"/>
  <c r="G58" i="12"/>
  <c r="H58" i="12" s="1"/>
  <c r="E58" i="12"/>
  <c r="I60" i="12"/>
  <c r="J60" i="12" s="1"/>
  <c r="G60" i="12"/>
  <c r="H60" i="12" s="1"/>
  <c r="E60" i="12"/>
  <c r="I61" i="12"/>
  <c r="J61" i="12" s="1"/>
  <c r="G61" i="12"/>
  <c r="H61" i="12" s="1"/>
  <c r="E61" i="12"/>
  <c r="I62" i="12"/>
  <c r="J62" i="12" s="1"/>
  <c r="G62" i="12"/>
  <c r="H62" i="12" s="1"/>
  <c r="E62" i="12"/>
  <c r="I63" i="12"/>
  <c r="J63" i="12" s="1"/>
  <c r="G63" i="12"/>
  <c r="H63" i="12" s="1"/>
  <c r="E63" i="12"/>
  <c r="I64" i="12"/>
  <c r="J64" i="12" s="1"/>
  <c r="G64" i="12"/>
  <c r="H64" i="12" s="1"/>
  <c r="E64" i="12"/>
  <c r="I65" i="12"/>
  <c r="J65" i="12" s="1"/>
  <c r="G65" i="12"/>
  <c r="H65" i="12" s="1"/>
  <c r="E65" i="12"/>
  <c r="I66" i="12"/>
  <c r="J66" i="12" s="1"/>
  <c r="G66" i="12"/>
  <c r="H66" i="12" s="1"/>
  <c r="E66" i="12"/>
  <c r="I67" i="12"/>
  <c r="J67" i="12" s="1"/>
  <c r="G67" i="12"/>
  <c r="H67" i="12" s="1"/>
  <c r="E67" i="12"/>
  <c r="I68" i="12"/>
  <c r="J68" i="12" s="1"/>
  <c r="G68" i="12"/>
  <c r="H68" i="12" s="1"/>
  <c r="E68" i="12"/>
  <c r="I69" i="12"/>
  <c r="J69" i="12" s="1"/>
  <c r="G69" i="12"/>
  <c r="H69" i="12" s="1"/>
  <c r="E69" i="12"/>
  <c r="I70" i="12"/>
  <c r="J70" i="12" s="1"/>
  <c r="G70" i="12"/>
  <c r="H70" i="12" s="1"/>
  <c r="E70" i="12"/>
  <c r="I71" i="12"/>
  <c r="J71" i="12" s="1"/>
  <c r="G71" i="12"/>
  <c r="H71" i="12" s="1"/>
  <c r="E71" i="12"/>
  <c r="I72" i="12"/>
  <c r="J72" i="12" s="1"/>
  <c r="G72" i="12"/>
  <c r="H72" i="12" s="1"/>
  <c r="E72" i="12"/>
  <c r="I73" i="12"/>
  <c r="J73" i="12" s="1"/>
  <c r="G73" i="12"/>
  <c r="H73" i="12" s="1"/>
  <c r="E73" i="12"/>
  <c r="I74" i="12"/>
  <c r="J74" i="12" s="1"/>
  <c r="G74" i="12"/>
  <c r="H74" i="12" s="1"/>
  <c r="E74" i="12"/>
  <c r="I75" i="12"/>
  <c r="J75" i="12" s="1"/>
  <c r="G75" i="12"/>
  <c r="H75" i="12" s="1"/>
  <c r="E75" i="12"/>
  <c r="I76" i="12"/>
  <c r="J76" i="12" s="1"/>
  <c r="G76" i="12"/>
  <c r="H76" i="12" s="1"/>
  <c r="E76" i="12"/>
  <c r="I77" i="12"/>
  <c r="J77" i="12" s="1"/>
  <c r="G77" i="12"/>
  <c r="H77" i="12" s="1"/>
  <c r="E77" i="12"/>
  <c r="I78" i="12"/>
  <c r="J78" i="12" s="1"/>
  <c r="G78" i="12"/>
  <c r="H78" i="12" s="1"/>
  <c r="E78" i="12"/>
  <c r="I79" i="12"/>
  <c r="J79" i="12" s="1"/>
  <c r="G79" i="12"/>
  <c r="H79" i="12" s="1"/>
  <c r="E79" i="12"/>
  <c r="I80" i="12"/>
  <c r="J80" i="12" s="1"/>
  <c r="G80" i="12"/>
  <c r="H80" i="12" s="1"/>
  <c r="E80" i="12"/>
  <c r="I81" i="12"/>
  <c r="J81" i="12" s="1"/>
  <c r="G81" i="12"/>
  <c r="H81" i="12" s="1"/>
  <c r="E81" i="12"/>
  <c r="I82" i="12"/>
  <c r="J82" i="12" s="1"/>
  <c r="G82" i="12"/>
  <c r="H82" i="12" s="1"/>
  <c r="E82" i="12"/>
  <c r="I83" i="12"/>
  <c r="J83" i="12" s="1"/>
  <c r="G83" i="12"/>
  <c r="H83" i="12" s="1"/>
  <c r="E83" i="12"/>
  <c r="I84" i="12"/>
  <c r="J84" i="12" s="1"/>
  <c r="G84" i="12"/>
  <c r="H84" i="12" s="1"/>
  <c r="E84" i="12"/>
  <c r="E54" i="12"/>
  <c r="G54" i="12"/>
  <c r="H54" i="12" s="1"/>
  <c r="I54" i="12"/>
  <c r="J54" i="12" l="1"/>
  <c r="C54" i="12"/>
  <c r="D54" i="12" s="1"/>
  <c r="F78" i="12"/>
  <c r="C78" i="12"/>
  <c r="D78" i="12" s="1"/>
  <c r="F57" i="12"/>
  <c r="C57" i="12"/>
  <c r="D57" i="12" s="1"/>
  <c r="F80" i="12"/>
  <c r="C80" i="12"/>
  <c r="D80" i="12" s="1"/>
  <c r="F72" i="12"/>
  <c r="C72" i="12"/>
  <c r="D72" i="12" s="1"/>
  <c r="F64" i="12"/>
  <c r="C64" i="12"/>
  <c r="D64" i="12" s="1"/>
  <c r="F56" i="12"/>
  <c r="C56" i="12"/>
  <c r="D56" i="12" s="1"/>
  <c r="F67" i="12"/>
  <c r="C67" i="12"/>
  <c r="D67" i="12" s="1"/>
  <c r="E59" i="12"/>
  <c r="F70" i="12"/>
  <c r="C70" i="12"/>
  <c r="D70" i="12" s="1"/>
  <c r="F62" i="12"/>
  <c r="C62" i="12"/>
  <c r="D62" i="12" s="1"/>
  <c r="I59" i="12"/>
  <c r="J59" i="12" s="1"/>
  <c r="F83" i="12"/>
  <c r="C83" i="12"/>
  <c r="D83" i="12" s="1"/>
  <c r="F75" i="12"/>
  <c r="C75" i="12"/>
  <c r="D75" i="12" s="1"/>
  <c r="F81" i="12"/>
  <c r="C81" i="12"/>
  <c r="D81" i="12" s="1"/>
  <c r="F73" i="12"/>
  <c r="C73" i="12"/>
  <c r="D73" i="12" s="1"/>
  <c r="F65" i="12"/>
  <c r="C65" i="12"/>
  <c r="D65" i="12" s="1"/>
  <c r="F84" i="12"/>
  <c r="C84" i="12"/>
  <c r="D84" i="12" s="1"/>
  <c r="F79" i="12"/>
  <c r="C79" i="12"/>
  <c r="D79" i="12" s="1"/>
  <c r="F71" i="12"/>
  <c r="C71" i="12"/>
  <c r="D71" i="12" s="1"/>
  <c r="F63" i="12"/>
  <c r="C63" i="12"/>
  <c r="D63" i="12" s="1"/>
  <c r="F55" i="12"/>
  <c r="C55" i="12"/>
  <c r="D55" i="12" s="1"/>
  <c r="F76" i="12"/>
  <c r="C76" i="12"/>
  <c r="D76" i="12" s="1"/>
  <c r="F60" i="12"/>
  <c r="C60" i="12"/>
  <c r="D60" i="12" s="1"/>
  <c r="F82" i="12"/>
  <c r="C82" i="12"/>
  <c r="D82" i="12" s="1"/>
  <c r="F74" i="12"/>
  <c r="C74" i="12"/>
  <c r="D74" i="12" s="1"/>
  <c r="F66" i="12"/>
  <c r="C66" i="12"/>
  <c r="D66" i="12" s="1"/>
  <c r="F58" i="12"/>
  <c r="C58" i="12"/>
  <c r="D58" i="12" s="1"/>
  <c r="F68" i="12"/>
  <c r="C68" i="12"/>
  <c r="D68" i="12" s="1"/>
  <c r="F54" i="12"/>
  <c r="F77" i="12"/>
  <c r="C77" i="12"/>
  <c r="D77" i="12" s="1"/>
  <c r="F69" i="12"/>
  <c r="C69" i="12"/>
  <c r="D69" i="12" s="1"/>
  <c r="F61" i="12"/>
  <c r="C61" i="12"/>
  <c r="D61" i="12" s="1"/>
  <c r="G59" i="12"/>
  <c r="H59" i="12" s="1"/>
  <c r="C68" i="20" l="1"/>
  <c r="C67" i="20"/>
  <c r="F59" i="12"/>
  <c r="C59" i="12"/>
  <c r="D59" i="12" s="1"/>
  <c r="C81" i="27" l="1"/>
  <c r="C82" i="27" s="1"/>
  <c r="C120" i="27" a="1"/>
  <c r="C120" i="27" s="1"/>
  <c r="C78" i="20"/>
  <c r="C10" i="27" l="1"/>
  <c r="D75" i="20"/>
  <c r="D92" i="2"/>
  <c r="E10" i="27" l="1"/>
  <c r="AK7" i="3" a="1"/>
  <c r="AK7" i="3" s="1"/>
  <c r="C117" i="27" s="1"/>
  <c r="AM7" i="3" a="1"/>
  <c r="AM7" i="3" s="1"/>
  <c r="D107" i="2" l="1"/>
  <c r="D156" i="6"/>
  <c r="C156" i="6"/>
  <c r="B156" i="6"/>
  <c r="D155" i="6"/>
  <c r="C155" i="6"/>
  <c r="B155" i="6"/>
  <c r="D154" i="6"/>
  <c r="C154" i="6"/>
  <c r="B154" i="6"/>
  <c r="D153" i="6"/>
  <c r="C153" i="6"/>
  <c r="B153" i="6"/>
  <c r="D152" i="6"/>
  <c r="C152" i="6"/>
  <c r="B152" i="6"/>
  <c r="D151" i="6"/>
  <c r="C151" i="6"/>
  <c r="B151" i="6"/>
  <c r="D150" i="6"/>
  <c r="C150" i="6"/>
  <c r="B150" i="6"/>
  <c r="D149" i="6"/>
  <c r="C149" i="6"/>
  <c r="B149" i="6"/>
  <c r="D148" i="6"/>
  <c r="C148" i="6"/>
  <c r="B148" i="6"/>
  <c r="D147" i="6"/>
  <c r="C147" i="6"/>
  <c r="B147" i="6"/>
  <c r="D146" i="6"/>
  <c r="C146" i="6"/>
  <c r="B146" i="6"/>
  <c r="D145" i="6"/>
  <c r="C145" i="6"/>
  <c r="B145" i="6"/>
  <c r="D144" i="6"/>
  <c r="C144" i="6"/>
  <c r="B144" i="6"/>
  <c r="D143" i="6"/>
  <c r="C143" i="6"/>
  <c r="B143" i="6"/>
  <c r="D142" i="6"/>
  <c r="C142" i="6"/>
  <c r="B142" i="6"/>
  <c r="D141" i="6"/>
  <c r="C141" i="6"/>
  <c r="B141" i="6"/>
  <c r="D140" i="6"/>
  <c r="C140" i="6"/>
  <c r="B140" i="6"/>
  <c r="D139" i="6"/>
  <c r="C139" i="6"/>
  <c r="B139" i="6"/>
  <c r="D138" i="6"/>
  <c r="C138" i="6"/>
  <c r="B138" i="6"/>
  <c r="D137" i="6"/>
  <c r="C137" i="6"/>
  <c r="B137" i="6"/>
  <c r="D136" i="6"/>
  <c r="C136" i="6"/>
  <c r="B136" i="6"/>
  <c r="D135" i="6"/>
  <c r="C135" i="6"/>
  <c r="B135" i="6"/>
  <c r="D134" i="6"/>
  <c r="C134" i="6"/>
  <c r="B134" i="6"/>
  <c r="D133" i="6"/>
  <c r="C133" i="6"/>
  <c r="B133" i="6"/>
  <c r="D132" i="6"/>
  <c r="C132" i="6"/>
  <c r="B132" i="6"/>
  <c r="D131" i="6"/>
  <c r="C131" i="6"/>
  <c r="B131" i="6"/>
  <c r="D130" i="6"/>
  <c r="C130" i="6"/>
  <c r="B130" i="6"/>
  <c r="D129" i="6"/>
  <c r="C129" i="6"/>
  <c r="B129" i="6"/>
  <c r="D128" i="6"/>
  <c r="C128" i="6"/>
  <c r="B128" i="6"/>
  <c r="D127" i="6"/>
  <c r="C127" i="6"/>
  <c r="B127" i="6"/>
  <c r="D126" i="6"/>
  <c r="C126" i="6"/>
  <c r="B126" i="6"/>
  <c r="D125" i="6"/>
  <c r="C125" i="6"/>
  <c r="B125" i="6"/>
  <c r="D124" i="6"/>
  <c r="C124" i="6"/>
  <c r="B124" i="6"/>
  <c r="D123" i="6"/>
  <c r="C123" i="6"/>
  <c r="B123" i="6"/>
  <c r="D122" i="6"/>
  <c r="C122" i="6"/>
  <c r="B122" i="6"/>
  <c r="D121" i="6"/>
  <c r="C121" i="6"/>
  <c r="B121" i="6"/>
  <c r="D120" i="6"/>
  <c r="C120" i="6"/>
  <c r="B120" i="6"/>
  <c r="D119" i="6"/>
  <c r="C119" i="6"/>
  <c r="B119" i="6"/>
  <c r="D118" i="6"/>
  <c r="C118" i="6"/>
  <c r="B118" i="6"/>
  <c r="D117" i="6"/>
  <c r="C117" i="6"/>
  <c r="B117" i="6"/>
  <c r="D116" i="6"/>
  <c r="C116" i="6"/>
  <c r="B116" i="6"/>
  <c r="D115" i="6"/>
  <c r="C115" i="6"/>
  <c r="B115" i="6"/>
  <c r="D114" i="6"/>
  <c r="C114" i="6"/>
  <c r="B114" i="6"/>
  <c r="D113" i="6"/>
  <c r="C113" i="6"/>
  <c r="B113" i="6"/>
  <c r="D112" i="6"/>
  <c r="C112" i="6"/>
  <c r="B112" i="6"/>
  <c r="D111" i="6"/>
  <c r="C111" i="6"/>
  <c r="B111" i="6"/>
  <c r="D110" i="6"/>
  <c r="C110" i="6"/>
  <c r="B110" i="6"/>
  <c r="D109" i="6"/>
  <c r="C109" i="6"/>
  <c r="B109" i="6"/>
  <c r="D108" i="6"/>
  <c r="C108" i="6"/>
  <c r="B108" i="6"/>
  <c r="D107" i="6"/>
  <c r="C107" i="6"/>
  <c r="B107" i="6"/>
  <c r="D106" i="6"/>
  <c r="C106" i="6"/>
  <c r="B106" i="6"/>
  <c r="D105" i="6"/>
  <c r="C105" i="6"/>
  <c r="B105" i="6"/>
  <c r="D104" i="6"/>
  <c r="C104" i="6"/>
  <c r="B104" i="6"/>
  <c r="D103" i="6"/>
  <c r="C103" i="6"/>
  <c r="B103" i="6"/>
  <c r="D102" i="6"/>
  <c r="C102" i="6"/>
  <c r="B102" i="6"/>
  <c r="D101" i="6"/>
  <c r="C101" i="6"/>
  <c r="B101" i="6"/>
  <c r="D100" i="6"/>
  <c r="C100" i="6"/>
  <c r="B100" i="6"/>
  <c r="D99" i="6"/>
  <c r="C99" i="6"/>
  <c r="B99" i="6"/>
  <c r="D98" i="6"/>
  <c r="C98" i="6"/>
  <c r="B98" i="6"/>
  <c r="D97" i="6"/>
  <c r="C97" i="6"/>
  <c r="B97" i="6"/>
  <c r="D96" i="6"/>
  <c r="C96" i="6"/>
  <c r="B96" i="6"/>
  <c r="D95" i="6"/>
  <c r="C95" i="6"/>
  <c r="B95" i="6"/>
  <c r="D94" i="6"/>
  <c r="C94" i="6"/>
  <c r="B94" i="6"/>
  <c r="D93" i="6"/>
  <c r="C93" i="6"/>
  <c r="B93" i="6"/>
  <c r="D92" i="6"/>
  <c r="C92" i="6"/>
  <c r="B92" i="6"/>
  <c r="D91" i="6"/>
  <c r="C91" i="6"/>
  <c r="B91" i="6"/>
  <c r="D90" i="6"/>
  <c r="C90" i="6"/>
  <c r="B90" i="6"/>
  <c r="D89" i="6"/>
  <c r="C89" i="6"/>
  <c r="B89" i="6"/>
  <c r="D88" i="6"/>
  <c r="C88" i="6"/>
  <c r="B88" i="6"/>
  <c r="D87" i="6"/>
  <c r="C87" i="6"/>
  <c r="B87" i="6"/>
  <c r="D86" i="6"/>
  <c r="C86" i="6"/>
  <c r="B86" i="6"/>
  <c r="D85" i="6"/>
  <c r="C85" i="6"/>
  <c r="B85" i="6"/>
  <c r="D84" i="6"/>
  <c r="C84" i="6"/>
  <c r="B84" i="6"/>
  <c r="D83" i="6"/>
  <c r="C83" i="6"/>
  <c r="B83" i="6"/>
  <c r="D82" i="6"/>
  <c r="C82" i="6"/>
  <c r="B82" i="6"/>
  <c r="D81" i="6"/>
  <c r="C81" i="6"/>
  <c r="B81" i="6"/>
  <c r="D80" i="6"/>
  <c r="C80" i="6"/>
  <c r="B80" i="6"/>
  <c r="D79" i="6"/>
  <c r="C79" i="6"/>
  <c r="B79" i="6"/>
  <c r="D78" i="6"/>
  <c r="C78" i="6"/>
  <c r="B78" i="6"/>
  <c r="D77" i="6"/>
  <c r="C77" i="6"/>
  <c r="B77" i="6"/>
  <c r="D76" i="6"/>
  <c r="C76" i="6"/>
  <c r="B76" i="6"/>
  <c r="D75" i="6"/>
  <c r="C75" i="6"/>
  <c r="B75" i="6"/>
  <c r="D74" i="6"/>
  <c r="C74" i="6"/>
  <c r="B74" i="6"/>
  <c r="D73" i="6"/>
  <c r="C73" i="6"/>
  <c r="B73" i="6"/>
  <c r="D72" i="6"/>
  <c r="C72" i="6"/>
  <c r="B72" i="6"/>
  <c r="D71" i="6"/>
  <c r="C71" i="6"/>
  <c r="B71" i="6"/>
  <c r="D70" i="6"/>
  <c r="C70" i="6"/>
  <c r="B70" i="6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5" i="6"/>
  <c r="C35" i="6"/>
  <c r="B35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G11" i="6"/>
  <c r="G8" i="6" s="1" a="1"/>
  <c r="G8" i="6" s="1"/>
  <c r="D11" i="6"/>
  <c r="C11" i="6"/>
  <c r="B11" i="6"/>
  <c r="D10" i="6"/>
  <c r="C10" i="6"/>
  <c r="B10" i="6"/>
  <c r="C12" i="3"/>
  <c r="D12" i="3"/>
  <c r="F30" i="6" l="1" a="1"/>
  <c r="F30" i="6" s="1"/>
  <c r="F32" i="6" a="1"/>
  <c r="F32" i="6" s="1"/>
  <c r="F134" i="6" a="1"/>
  <c r="F134" i="6" s="1"/>
  <c r="F129" i="6" a="1"/>
  <c r="F129" i="6" s="1"/>
  <c r="F62" i="6" a="1"/>
  <c r="F62" i="6" s="1"/>
  <c r="F87" i="6" a="1"/>
  <c r="F87" i="6" s="1"/>
  <c r="F130" i="6" a="1"/>
  <c r="F130" i="6" s="1"/>
  <c r="F101" i="6" a="1"/>
  <c r="F101" i="6" s="1"/>
  <c r="F88" i="6" a="1"/>
  <c r="F88" i="6" s="1"/>
  <c r="F75" i="6" a="1"/>
  <c r="F75" i="6" s="1"/>
  <c r="F152" i="6" a="1"/>
  <c r="F152" i="6" s="1"/>
  <c r="F108" i="6" a="1"/>
  <c r="F108" i="6" s="1"/>
  <c r="F93" i="6" a="1"/>
  <c r="F93" i="6" s="1"/>
  <c r="F64" i="6" a="1"/>
  <c r="F64" i="6" s="1"/>
  <c r="F109" i="6" a="1"/>
  <c r="F109" i="6" s="1"/>
  <c r="F82" i="6" a="1"/>
  <c r="F82" i="6" s="1"/>
  <c r="F114" i="6" a="1"/>
  <c r="F114" i="6" s="1"/>
  <c r="F53" i="6" a="1"/>
  <c r="F53" i="6" s="1"/>
  <c r="F133" i="6" a="1"/>
  <c r="F133" i="6" s="1"/>
  <c r="F120" i="6" a="1"/>
  <c r="F120" i="6" s="1"/>
  <c r="F95" i="6" a="1"/>
  <c r="F95" i="6" s="1"/>
  <c r="F106" i="6" a="1"/>
  <c r="F106" i="6" s="1"/>
  <c r="F74" i="6" a="1"/>
  <c r="F74" i="6" s="1"/>
  <c r="F86" i="6" a="1"/>
  <c r="F86" i="6" s="1"/>
  <c r="F104" i="6" a="1"/>
  <c r="F104" i="6" s="1"/>
  <c r="F131" i="6" a="1"/>
  <c r="F131" i="6" s="1"/>
  <c r="F52" i="6" a="1"/>
  <c r="F52" i="6" s="1"/>
  <c r="F44" i="6" a="1"/>
  <c r="F44" i="6" s="1"/>
  <c r="F61" i="6" a="1"/>
  <c r="F61" i="6" s="1"/>
  <c r="F149" i="6" a="1"/>
  <c r="F149" i="6" s="1"/>
  <c r="F136" i="6" a="1"/>
  <c r="F136" i="6" s="1"/>
  <c r="F132" i="6" a="1"/>
  <c r="F132" i="6" s="1"/>
  <c r="F156" i="6" a="1"/>
  <c r="F156" i="6" s="1"/>
  <c r="F66" i="6" a="1"/>
  <c r="F66" i="6" s="1"/>
  <c r="F142" i="6" a="1"/>
  <c r="F142" i="6" s="1"/>
  <c r="F50" i="6" a="1"/>
  <c r="F50" i="6" s="1"/>
  <c r="F137" i="6" a="1"/>
  <c r="F137" i="6" s="1"/>
  <c r="F85" i="6" a="1"/>
  <c r="F85" i="6" s="1"/>
  <c r="F48" i="6" a="1"/>
  <c r="F48" i="6" s="1"/>
  <c r="F83" i="6" a="1"/>
  <c r="F83" i="6" s="1"/>
  <c r="F111" i="6" a="1"/>
  <c r="F111" i="6" s="1"/>
  <c r="F144" i="6" a="1"/>
  <c r="F144" i="6" s="1"/>
  <c r="F148" i="6" a="1"/>
  <c r="F148" i="6" s="1"/>
  <c r="F103" i="6" a="1"/>
  <c r="F103" i="6" s="1"/>
  <c r="F80" i="6" a="1"/>
  <c r="F80" i="6" s="1"/>
  <c r="F60" i="6" a="1"/>
  <c r="F60" i="6" s="1"/>
  <c r="F140" i="6" a="1"/>
  <c r="F140" i="6" s="1"/>
  <c r="F153" i="6" a="1"/>
  <c r="F153" i="6" s="1"/>
  <c r="F94" i="6" a="1"/>
  <c r="F94" i="6" s="1"/>
  <c r="F59" i="6" a="1"/>
  <c r="F59" i="6" s="1"/>
  <c r="F73" i="6" a="1"/>
  <c r="F73" i="6" s="1"/>
  <c r="F76" i="6" a="1"/>
  <c r="F76" i="6" s="1"/>
  <c r="F135" i="6" a="1"/>
  <c r="F135" i="6" s="1"/>
  <c r="F146" i="6" a="1"/>
  <c r="F146" i="6" s="1"/>
  <c r="F138" i="6" a="1"/>
  <c r="F138" i="6" s="1"/>
  <c r="F96" i="6" a="1"/>
  <c r="F96" i="6" s="1"/>
  <c r="F92" i="6" a="1"/>
  <c r="F92" i="6" s="1"/>
  <c r="F56" i="6" a="1"/>
  <c r="F56" i="6" s="1"/>
  <c r="F119" i="6" a="1"/>
  <c r="F119" i="6" s="1"/>
  <c r="F147" i="6" a="1"/>
  <c r="F147" i="6" s="1"/>
  <c r="F98" i="6" a="1"/>
  <c r="F98" i="6" s="1"/>
  <c r="F145" i="6" a="1"/>
  <c r="F145" i="6" s="1"/>
  <c r="F77" i="6" a="1"/>
  <c r="F77" i="6" s="1"/>
  <c r="F118" i="6" a="1"/>
  <c r="F118" i="6" s="1"/>
  <c r="F43" i="6" a="1"/>
  <c r="F43" i="6" s="1"/>
  <c r="F47" i="6" a="1"/>
  <c r="F47" i="6" s="1"/>
  <c r="F79" i="6" a="1"/>
  <c r="F79" i="6" s="1"/>
  <c r="F90" i="6" a="1"/>
  <c r="F90" i="6" s="1"/>
  <c r="F121" i="6" a="1"/>
  <c r="F121" i="6" s="1"/>
  <c r="F127" i="6" a="1"/>
  <c r="F127" i="6" s="1"/>
  <c r="F155" i="6" a="1"/>
  <c r="F155" i="6" s="1"/>
  <c r="F84" i="6" a="1"/>
  <c r="F84" i="6" s="1"/>
  <c r="F55" i="6" a="1"/>
  <c r="F55" i="6" s="1"/>
  <c r="F99" i="6" a="1"/>
  <c r="F99" i="6" s="1"/>
  <c r="F89" i="6" a="1"/>
  <c r="F89" i="6" s="1"/>
  <c r="F81" i="6" a="1"/>
  <c r="F81" i="6" s="1"/>
  <c r="F124" i="6" a="1"/>
  <c r="F124" i="6" s="1"/>
  <c r="F117" i="6" a="1"/>
  <c r="F117" i="6" s="1"/>
  <c r="F97" i="6" a="1"/>
  <c r="F97" i="6" s="1"/>
  <c r="F151" i="6" a="1"/>
  <c r="F151" i="6" s="1"/>
  <c r="F126" i="6" a="1"/>
  <c r="F126" i="6" s="1"/>
  <c r="F42" i="6" a="1"/>
  <c r="F42" i="6" s="1"/>
  <c r="F57" i="6" a="1"/>
  <c r="F57" i="6" s="1"/>
  <c r="F63" i="6" a="1"/>
  <c r="F63" i="6" s="1"/>
  <c r="F123" i="6" a="1"/>
  <c r="F123" i="6" s="1"/>
  <c r="F105" i="6" a="1"/>
  <c r="F105" i="6" s="1"/>
  <c r="F102" i="6" a="1"/>
  <c r="F102" i="6" s="1"/>
  <c r="F51" i="6" a="1"/>
  <c r="F51" i="6" s="1"/>
  <c r="F150" i="6" a="1"/>
  <c r="F150" i="6" s="1"/>
  <c r="F112" i="6" a="1"/>
  <c r="F112" i="6" s="1"/>
  <c r="F139" i="6" a="1"/>
  <c r="F139" i="6" s="1"/>
  <c r="F100" i="6" a="1"/>
  <c r="F100" i="6" s="1"/>
  <c r="F65" i="6" a="1"/>
  <c r="F65" i="6" s="1"/>
  <c r="F68" i="6" a="1"/>
  <c r="F68" i="6" s="1"/>
  <c r="F78" i="6" a="1"/>
  <c r="F78" i="6" s="1"/>
  <c r="F45" i="6" a="1"/>
  <c r="F45" i="6" s="1"/>
  <c r="F110" i="6" a="1"/>
  <c r="F110" i="6" s="1"/>
  <c r="F67" i="6" a="1"/>
  <c r="F67" i="6" s="1"/>
  <c r="F141" i="6" a="1"/>
  <c r="F141" i="6" s="1"/>
  <c r="F54" i="6" a="1"/>
  <c r="F54" i="6" s="1"/>
  <c r="F122" i="6" a="1"/>
  <c r="F122" i="6" s="1"/>
  <c r="F125" i="6" a="1"/>
  <c r="F125" i="6" s="1"/>
  <c r="F72" i="6" a="1"/>
  <c r="F72" i="6" s="1"/>
  <c r="F91" i="6" a="1"/>
  <c r="F91" i="6" s="1"/>
  <c r="F71" i="6" a="1"/>
  <c r="F71" i="6" s="1"/>
  <c r="F113" i="6" a="1"/>
  <c r="F113" i="6" s="1"/>
  <c r="F115" i="6" a="1"/>
  <c r="F115" i="6" s="1"/>
  <c r="F69" i="6" a="1"/>
  <c r="F69" i="6" s="1"/>
  <c r="F70" i="6" a="1"/>
  <c r="F70" i="6" s="1"/>
  <c r="F128" i="6" a="1"/>
  <c r="F128" i="6" s="1"/>
  <c r="F116" i="6" a="1"/>
  <c r="F116" i="6" s="1"/>
  <c r="F143" i="6" a="1"/>
  <c r="F143" i="6" s="1"/>
  <c r="F154" i="6" a="1"/>
  <c r="F154" i="6" s="1"/>
  <c r="F49" i="6" a="1"/>
  <c r="F49" i="6" s="1"/>
  <c r="F39" i="6" a="1"/>
  <c r="F39" i="6" s="1"/>
  <c r="F107" i="6" a="1"/>
  <c r="F107" i="6" s="1"/>
  <c r="F58" i="6" a="1"/>
  <c r="F58" i="6" s="1"/>
  <c r="F46" i="6" a="1"/>
  <c r="F46" i="6" s="1"/>
  <c r="F38" i="6" a="1"/>
  <c r="F38" i="6" s="1"/>
  <c r="F36" i="6" a="1"/>
  <c r="F36" i="6" s="1"/>
  <c r="F40" i="6" a="1"/>
  <c r="F40" i="6" s="1"/>
  <c r="F37" i="6" a="1"/>
  <c r="F37" i="6" s="1"/>
  <c r="F35" i="6" a="1"/>
  <c r="F35" i="6" s="1"/>
  <c r="F41" i="6" a="1"/>
  <c r="F41" i="6" s="1"/>
  <c r="F34" i="6" a="1"/>
  <c r="F34" i="6" s="1"/>
  <c r="K13" i="6" l="1"/>
  <c r="F13" i="6" s="1" a="1"/>
  <c r="F13" i="6" s="1"/>
  <c r="K12" i="6"/>
  <c r="F12" i="6" s="1" a="1"/>
  <c r="F12" i="6" s="1"/>
  <c r="K11" i="6"/>
  <c r="V7" i="3"/>
  <c r="E13" i="3" a="1"/>
  <c r="E13" i="3" s="1"/>
  <c r="F24" i="6" a="1"/>
  <c r="F24" i="6" s="1"/>
  <c r="F26" i="6" a="1"/>
  <c r="F26" i="6" s="1"/>
  <c r="F23" i="6" a="1"/>
  <c r="F23" i="6" s="1"/>
  <c r="F16" i="6" a="1"/>
  <c r="F16" i="6" s="1"/>
  <c r="AL7" i="3" a="1"/>
  <c r="AL7" i="3" s="1"/>
  <c r="C118" i="27" s="1"/>
  <c r="C121" i="27" s="1"/>
  <c r="F18" i="6" a="1"/>
  <c r="F18" i="6" s="1"/>
  <c r="F17" i="6" a="1"/>
  <c r="F17" i="6" s="1"/>
  <c r="F15" i="6" a="1"/>
  <c r="F15" i="6" s="1"/>
  <c r="F31" i="6" a="1"/>
  <c r="F31" i="6" s="1"/>
  <c r="F22" i="6" a="1"/>
  <c r="F22" i="6" s="1"/>
  <c r="F33" i="6" a="1"/>
  <c r="F33" i="6" s="1"/>
  <c r="F19" i="6" a="1"/>
  <c r="F19" i="6" s="1"/>
  <c r="F29" i="6" a="1"/>
  <c r="F29" i="6" s="1"/>
  <c r="F20" i="6" a="1"/>
  <c r="F20" i="6" s="1"/>
  <c r="F28" i="6" a="1"/>
  <c r="F28" i="6" s="1"/>
  <c r="F102" i="27" l="1"/>
  <c r="H102" i="27" s="1"/>
  <c r="K10" i="6"/>
  <c r="K8" i="6" s="1" a="1"/>
  <c r="K8" i="6" s="1"/>
  <c r="D7" i="6" s="1"/>
  <c r="F14" i="6" a="1"/>
  <c r="F14" i="6" s="1"/>
  <c r="F25" i="6" a="1"/>
  <c r="F25" i="6" s="1"/>
  <c r="F21" i="6" a="1"/>
  <c r="F21" i="6" s="1"/>
  <c r="F27" i="6" a="1"/>
  <c r="F27" i="6" s="1"/>
  <c r="F11" i="6" a="1"/>
  <c r="F11" i="6" s="1"/>
  <c r="F10" i="6" l="1" a="1"/>
  <c r="F10" i="6" s="1"/>
  <c r="U9" i="26"/>
  <c r="E41" i="27" l="1"/>
  <c r="E85" i="2" l="1"/>
  <c r="H85" i="2" s="1"/>
  <c r="C74" i="27" s="1"/>
  <c r="F97" i="27" s="1"/>
  <c r="C76" i="27" l="1"/>
  <c r="C75" i="20"/>
  <c r="H97" i="27" l="1"/>
  <c r="H98" i="27" s="1"/>
  <c r="F98" i="27"/>
  <c r="W7" i="3"/>
  <c r="F103" i="27" l="1"/>
  <c r="F104" i="27" s="1"/>
  <c r="D6" i="3"/>
  <c r="H103" i="27" l="1"/>
  <c r="H104" i="27" s="1"/>
  <c r="H111" i="27" s="1"/>
  <c r="H112" i="27" s="1"/>
  <c r="C9" i="27"/>
  <c r="F111" i="27"/>
  <c r="F112" i="27" s="1"/>
  <c r="C11" i="27" l="1"/>
  <c r="E11" i="27" s="1"/>
  <c r="E9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B120" authorId="0" shapeId="0" xr:uid="{00000000-0006-0000-0000-000004000000}">
      <text>
        <r>
          <rPr>
            <b/>
            <sz val="9"/>
            <color rgb="FF000000"/>
            <rFont val="Tahoma"/>
            <family val="2"/>
          </rPr>
          <t>Forklaring: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For elektrisitet gjelder scenario for europeisk elektrisitetsmiks.
</t>
        </r>
        <r>
          <rPr>
            <sz val="9"/>
            <color rgb="FF000000"/>
            <rFont val="Tahoma"/>
            <family val="2"/>
          </rPr>
          <t xml:space="preserve">Det er ingen tidsvekting.
</t>
        </r>
        <r>
          <rPr>
            <sz val="9"/>
            <color rgb="FF000000"/>
            <rFont val="Tahoma"/>
            <family val="2"/>
          </rPr>
          <t xml:space="preserve">Utslipp fra avfallsforbrenningsandelen av fjernvarme er null.
</t>
        </r>
        <r>
          <rPr>
            <sz val="9"/>
            <color rgb="FF000000"/>
            <rFont val="Tahoma"/>
            <family val="2"/>
          </rPr>
          <t>Eksportert energi er kommer ikke til kompensasjon.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AB14" authorId="0" shapeId="0" xr:uid="{00000000-0006-0000-0100-000008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4" authorId="0" shapeId="0" xr:uid="{00000000-0006-0000-0100-000009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222FA33F-46BA-E140-8ED7-844BBF04CAA8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E0135996-FA67-0E44-9FF1-EE98625379E0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1096D9A8-2F6B-DB42-B13A-F06035D791C9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9AFD2DBA-6AEF-F449-93A2-A87ECA1CC3AE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ut.</t>
        </r>
      </text>
    </comment>
    <comment ref="K11" authorId="0" shapeId="0" xr:uid="{46A14D82-E3E6-624C-AD40-5F46EED5DB53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15FF0BF-6FAE-C747-8C02-2FBF00DB0454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44D78369-5D10-9244-9692-EBDAB9904781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93167A0B-1BFE-F245-82F3-E188D0215F8F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62BCD1F5-2710-3145-A54C-0E17E0342C07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B9D4DB7B-5FC8-4243-A389-D9CD37D481DF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DE6046CB-2BE3-884B-9828-F0926FB00CCD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FFC5F63C-47CC-3349-A413-9C3979724A1D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</t>
        </r>
      </text>
    </comment>
    <comment ref="I11" authorId="0" shapeId="0" xr:uid="{801DD53C-D4FA-9648-A678-B4E1383C1687}">
      <text>
        <r>
          <rPr>
            <b/>
            <sz val="9"/>
            <color rgb="FF000000"/>
            <rFont val="Tahoma"/>
            <family val="2"/>
          </rPr>
          <t xml:space="preserve">Antakelse: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For en bygningslvetid på 50 år antas hele antall utskiftninger for alle år frem til og med år 49. Det forekommer ingen utskiftninger i år 50.</t>
        </r>
      </text>
    </comment>
    <comment ref="K11" authorId="0" shapeId="0" xr:uid="{0FB6CF70-5C8C-7341-950D-C2655AD1DC2F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A61F724-928A-2E4A-B746-D24D65BDA885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21862F73-6728-0A49-BE1E-A1B0F8E5DF05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D6F9FCCF-E69C-A74E-A273-FE026DC4775C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Ingvild Wang</author>
  </authors>
  <commentList>
    <comment ref="AH6" authorId="0" shapeId="0" xr:uid="{13245EDF-89D8-4210-AA7F-765F31FBE6A0}">
      <text>
        <r>
          <rPr>
            <b/>
            <sz val="9"/>
            <color indexed="81"/>
            <rFont val="Tahoma"/>
            <family val="2"/>
          </rPr>
          <t>Ingvild Wang:</t>
        </r>
        <r>
          <rPr>
            <sz val="9"/>
            <color indexed="81"/>
            <rFont val="Tahoma"/>
            <family val="2"/>
          </rPr>
          <t xml:space="preserve">
Denne beregner ikke e^-0,03( t-tau), kun t!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C7" authorId="0" shapeId="0" xr:uid="{00000000-0006-0000-0400-000001000000}">
      <text>
        <r>
          <rPr>
            <b/>
            <sz val="9"/>
            <color rgb="FF000000"/>
            <rFont val="Tahoma"/>
            <family val="2"/>
          </rPr>
          <t>Treinnhold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Andelen tørrvekt av tre i produktet. Mange produkter inneholder en andel biologisk basert materiale, som vil variere. Blant annet er det en høy andel tre i plateprodukter som CLT og LVL, og en mindre andel i gipsplater. Sammensatte produkter som vinduer/dører og parkett/linoleum har et treinnhold som avhenger av sammensetningen.</t>
        </r>
      </text>
    </comment>
    <comment ref="D7" authorId="0" shapeId="0" xr:uid="{00000000-0006-0000-0400-000002000000}">
      <text>
        <r>
          <rPr>
            <b/>
            <sz val="9"/>
            <color rgb="FF000000"/>
            <rFont val="Tahoma"/>
            <family val="2"/>
          </rPr>
          <t>Fossiltinnhold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Mange produkter inneholder en andel fossilt materiale, dette kan være PVC og andre plastvarianter, fugeskum, lim, bitumen/asfalt, osv.</t>
        </r>
      </text>
    </comment>
    <comment ref="E7" authorId="0" shapeId="0" xr:uid="{00000000-0006-0000-0400-000003000000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Lavkarbonbetongvarianter har lavere sementinnhold enn normalbetong/bransjestandard.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<sst xmlns="http://schemas.openxmlformats.org/spreadsheetml/2006/main" count="1329" uniqueCount="687">
  <si>
    <t>Logg</t>
  </si>
  <si>
    <t>Dato</t>
  </si>
  <si>
    <t>Endringer</t>
  </si>
  <si>
    <t>Hvem</t>
  </si>
  <si>
    <t>Nytt verktøy, med oppdatert beregningsmetodikk etter ZERO 3.0</t>
  </si>
  <si>
    <t>ES, ER &amp; NH</t>
  </si>
  <si>
    <t xml:space="preserve">Feilrettinger knyttet til tidsvekting, grunn og fundamenter. </t>
  </si>
  <si>
    <t>IW, PS</t>
  </si>
  <si>
    <t>Pressisering om at verktøyet gjelder ZERO-B V3.0</t>
  </si>
  <si>
    <t>NHH</t>
  </si>
  <si>
    <t>Justering formel og figur Grunn og Fundamenter</t>
  </si>
  <si>
    <t>Beregningsverktøy for FutureBuilt ZERO-B V3.0</t>
  </si>
  <si>
    <t xml:space="preserve">
 Klimagassutslipp og karbonbinding knyttet til bygningers material- og energibruk. 
Regnearket benyttes til justering av beregningsresultater fra en NS3720-beregning. </t>
  </si>
  <si>
    <r>
      <t xml:space="preserve">Dette verktøyet utfører beregninger basert på metodikken beskrevet i </t>
    </r>
    <r>
      <rPr>
        <i/>
        <sz val="11"/>
        <color theme="1"/>
        <rFont val="Replica-Light"/>
      </rPr>
      <t xml:space="preserve">«FutureBuilt ZERO-B - kriterier for lavutslippsbygg V3.0» </t>
    </r>
  </si>
  <si>
    <t xml:space="preserve">Verktøyet er utviklet av FutureBuilt,  Emily Smith (Context), Eirik Resch (Reduzer), Ingvild Wang (Rambøll) og Per Solibakke (Rambøll). </t>
  </si>
  <si>
    <t>Første publikasjon: 10.06.2024</t>
  </si>
  <si>
    <t>Revidert sist: 04.12.2025</t>
  </si>
  <si>
    <t>Om beregningsverktøyet og ZERO-B</t>
  </si>
  <si>
    <t>Dette beregningsverktøyet benyttes til justering av beregningsresultater fra en NS 3720-beregning, slik at resultatene følger FutureBuilt ZERO-B metodikk.</t>
  </si>
  <si>
    <t>Beregningene som justeres består av følgende hovedfaktorer som ikke hensyntas i en NS 3720-beregning:</t>
  </si>
  <si>
    <t>a.</t>
  </si>
  <si>
    <t xml:space="preserve">Tidsvekting av utslipp. </t>
  </si>
  <si>
    <t>b.</t>
  </si>
  <si>
    <t>Teknologiutvikling</t>
  </si>
  <si>
    <t>c.</t>
  </si>
  <si>
    <t>Avvergede utslipp</t>
  </si>
  <si>
    <t>d.</t>
  </si>
  <si>
    <r>
      <t>Opptak av CO</t>
    </r>
    <r>
      <rPr>
        <vertAlign val="subscript"/>
        <sz val="11"/>
        <color theme="1"/>
        <rFont val="Replica-Light"/>
      </rPr>
      <t>2</t>
    </r>
  </si>
  <si>
    <t>e.</t>
  </si>
  <si>
    <t>Karbonatisering</t>
  </si>
  <si>
    <t>f.</t>
  </si>
  <si>
    <t>Ombruk, ombrukbarhet og tilrettelegging for demontering</t>
  </si>
  <si>
    <t>Det er veiledende tekstbokser i hvert ark som beskriver framgangsmåten i hvert enkelt beregningsark.</t>
  </si>
  <si>
    <t>Hovedoppskriften i dokumentet er beskrevet under.</t>
  </si>
  <si>
    <t xml:space="preserve">Fremgangsmåte
</t>
  </si>
  <si>
    <t>Steg 1.</t>
  </si>
  <si>
    <t>Fyll inn "Prosjektinformasjon"i arket for ZERO-B Beregning. Fyll inn verdier for ditt prosjekt i gule felter.</t>
  </si>
  <si>
    <t>Steg 2.</t>
  </si>
  <si>
    <t>Beregn kravsnivå for ditt prosjekt i ZERO-B Beregning, samt krav for grunn og fundamenter</t>
  </si>
  <si>
    <t>Steg 3.</t>
  </si>
  <si>
    <t>I arket "ZERO-B Beregning" justerer du data fra NS3720 beregning om til ZERO-metodikk.</t>
  </si>
  <si>
    <t>Steg 4.</t>
  </si>
  <si>
    <t xml:space="preserve">I arket 'Inndata Bygg', fyll inn resultater fra NS3720-beregning hentet fra annen modell. </t>
  </si>
  <si>
    <t>Steg 5.</t>
  </si>
  <si>
    <t>I arket "Inndata GoF" beregner du materialutslipp fra grunn og fundamenter</t>
  </si>
  <si>
    <t>Steg 6.</t>
  </si>
  <si>
    <t>I arket "Tillegg - Øvrige bygningsdeler" beregner totalutslipp fra øvrige bygningsdeler som ikke er en del av kravsnivået til bygget ditt, men som skal rapporteres og beregnes.</t>
  </si>
  <si>
    <t xml:space="preserve">Hva du trenger for å begynne ZERO-B Beregningen: </t>
  </si>
  <si>
    <t>Grunnleggende LCA-kunnskaper</t>
  </si>
  <si>
    <t>Tilgang til energiberegninger</t>
  </si>
  <si>
    <t>Tilgang på materialister</t>
  </si>
  <si>
    <t>Oversikt over sirkulær strategi</t>
  </si>
  <si>
    <t xml:space="preserve">Produktinformasjon om materialene prosjektet skal bruke, som treinnhold, fossilinhold etc. </t>
  </si>
  <si>
    <t>ZERO-B V3.0 Beregning</t>
  </si>
  <si>
    <t>Visualisering av kravsnivå for ZERO-B 3.0 Beregning</t>
  </si>
  <si>
    <t xml:space="preserve">Klimagassutslipp og karbonbinding knyttet til bygningers material- og energibruk. </t>
  </si>
  <si>
    <t>Fyll inn gule felter</t>
  </si>
  <si>
    <t xml:space="preserve">Figurene under viser ikke prosjektresultater gitt de tiltakene prosjektene har gjort, men viser kravsnivå og ambisjoner for prosjektet. </t>
  </si>
  <si>
    <t xml:space="preserve">Regnearket benyttes til justering av beregningsresultater fra en NS3720-beregning. </t>
  </si>
  <si>
    <t>Grå felter beregnes automatisk</t>
  </si>
  <si>
    <r>
      <t xml:space="preserve">Du skal kun registrere data </t>
    </r>
    <r>
      <rPr>
        <b/>
        <sz val="11"/>
        <color theme="1"/>
        <rFont val="Replica-Light"/>
      </rPr>
      <t>i gule felter.</t>
    </r>
  </si>
  <si>
    <t>Prosjektinformasjon</t>
  </si>
  <si>
    <t>Fyll inn prosjektinformasjon.</t>
  </si>
  <si>
    <t>Prosjektnavn</t>
  </si>
  <si>
    <t>Fyll inn</t>
  </si>
  <si>
    <t>Prosjektfase</t>
  </si>
  <si>
    <t>Velg Prosjektfase</t>
  </si>
  <si>
    <t>Beregningsdato</t>
  </si>
  <si>
    <t>Beregnet av</t>
  </si>
  <si>
    <t>Firma</t>
  </si>
  <si>
    <t>Ferdigstillelsesår</t>
  </si>
  <si>
    <t>Beregningsperiode (år)</t>
  </si>
  <si>
    <t>Beregning av prosjekttilpasset kravsnivå</t>
  </si>
  <si>
    <t>Dersom prosjektet ditt består av flere bygningstyper, skal disse ha tilpassede kravsnivå. Under kan du fylle inn opp til tre ulike bygningstyper.</t>
  </si>
  <si>
    <r>
      <t>Velg bygningskategori fra nedtrekksmeny. Fyll inn bruksarealet (m</t>
    </r>
    <r>
      <rPr>
        <vertAlign val="superscript"/>
        <sz val="11"/>
        <color theme="1"/>
        <rFont val="Replica-Light"/>
      </rPr>
      <t>2</t>
    </r>
    <r>
      <rPr>
        <sz val="11"/>
        <color theme="1"/>
        <rFont val="Replica-Light"/>
      </rPr>
      <t>). Kravsnivå fylles inn automatisk.</t>
    </r>
  </si>
  <si>
    <t>Bygningstype 1</t>
  </si>
  <si>
    <t>Bygningstype 2</t>
  </si>
  <si>
    <t>Bygningstype 3</t>
  </si>
  <si>
    <t>Bygget samlet</t>
  </si>
  <si>
    <t>Bygningstype</t>
  </si>
  <si>
    <t>Kontor</t>
  </si>
  <si>
    <t>Velg bygningstype</t>
  </si>
  <si>
    <t>Oppvarmet bruksareal (BRA)</t>
  </si>
  <si>
    <r>
      <t>m</t>
    </r>
    <r>
      <rPr>
        <vertAlign val="superscript"/>
        <sz val="11"/>
        <color theme="0" tint="-0.499984740745262"/>
        <rFont val="Replica-Light"/>
      </rPr>
      <t>2</t>
    </r>
  </si>
  <si>
    <t>Energikrav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</si>
  <si>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e/m</t>
    </r>
    <r>
      <rPr>
        <vertAlign val="superscript"/>
        <sz val="11"/>
        <color theme="0" tint="-0.499984740745262"/>
        <rFont val="Replica-Light"/>
      </rPr>
      <t>2</t>
    </r>
  </si>
  <si>
    <t>Materialkrav</t>
  </si>
  <si>
    <t>Totalkrav</t>
  </si>
  <si>
    <t xml:space="preserve">NB. Summen av energikrav og materialkrav er større enn totalkravet. Dette fordi det er lagt inn en 10 % margin for romslighet for energi og materialer. </t>
  </si>
  <si>
    <t>Juster Y-aksen for å tilpasse figuren til ditt prosjekt</t>
  </si>
  <si>
    <t>Beregning av prosjekttilpasset kravsnivå for grunn og fundamenters materialutslipp</t>
  </si>
  <si>
    <t xml:space="preserve">Fyll inn prosjektinformasjon for grunn og fundamenter. Merk at kun en fundamenteringstype skal velges. </t>
  </si>
  <si>
    <t>Beregning</t>
  </si>
  <si>
    <t>Enhet</t>
  </si>
  <si>
    <t>A fotavtrykk</t>
  </si>
  <si>
    <t xml:space="preserve">   Fotavtrykk er arealet bygget til gulv på grunn. </t>
  </si>
  <si>
    <t>A BTA</t>
  </si>
  <si>
    <t>L dybde til fjell</t>
  </si>
  <si>
    <t xml:space="preserve">   Kun nødvendig for prosjekt med pelefundamentering</t>
  </si>
  <si>
    <t>Ja</t>
  </si>
  <si>
    <t>Direktefundamentering</t>
  </si>
  <si>
    <t>Nei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</si>
  <si>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</t>
    </r>
  </si>
  <si>
    <t>Direktefundamentering 
med bunnplate</t>
  </si>
  <si>
    <t>Pelefundamentering</t>
  </si>
  <si>
    <t>Spunt</t>
  </si>
  <si>
    <t>Formlene for å beregne utslipp fra grunn og fundamenter er beskrevet på futurebuilt-zero.web.app/</t>
  </si>
  <si>
    <t>Referanse</t>
  </si>
  <si>
    <t>Årstilpasset referanse</t>
  </si>
  <si>
    <t>Kravsnivå prosjekt</t>
  </si>
  <si>
    <t>Totalt</t>
  </si>
  <si>
    <r>
      <t>Per m</t>
    </r>
    <r>
      <rPr>
        <vertAlign val="superscript"/>
        <sz val="11"/>
        <color theme="1"/>
        <rFont val="Replica-Light"/>
      </rPr>
      <t>2</t>
    </r>
  </si>
  <si>
    <r>
      <t xml:space="preserve">  For å finne utslipp per m</t>
    </r>
    <r>
      <rPr>
        <i/>
        <vertAlign val="superscript"/>
        <sz val="9"/>
        <color theme="1"/>
        <rFont val="Replica-Light"/>
      </rPr>
      <t>2</t>
    </r>
    <r>
      <rPr>
        <i/>
        <sz val="9"/>
        <color theme="1"/>
        <rFont val="Replica-Light"/>
      </rPr>
      <t xml:space="preserve"> benyttes BRA oppgitt under prosjekttilpasset kravnivå</t>
    </r>
  </si>
  <si>
    <t>1) Beregning av bygningens material- og energibruk</t>
  </si>
  <si>
    <t xml:space="preserve">Under registreres og beregnes klimagassutslipp og karbonbinding knyttet til byggets material- og energibruk. </t>
  </si>
  <si>
    <t xml:space="preserve">Fyll inn informasjon om energibruk i byggefasen, materialgjenvinning av brennbart materiale, energibruk i drift og prosjektets sammensetning av fjernvarme. </t>
  </si>
  <si>
    <t>a) Energibruk i byggefasen</t>
  </si>
  <si>
    <r>
      <t xml:space="preserve">Her fylles inn informasjon om energibruk i byggefasen, for </t>
    </r>
    <r>
      <rPr>
        <b/>
        <sz val="11"/>
        <color theme="1"/>
        <rFont val="Replica-Light"/>
      </rPr>
      <t>bygningen som helhet</t>
    </r>
    <r>
      <rPr>
        <sz val="11"/>
        <color theme="1"/>
        <rFont val="Replica-Light"/>
      </rPr>
      <t>. Dette gjelder for bygget samlet, uavhengig av bygningskategori og type.</t>
    </r>
  </si>
  <si>
    <t>Elektrisitet, levert</t>
  </si>
  <si>
    <t>kWh</t>
  </si>
  <si>
    <t>Fjernvarme</t>
  </si>
  <si>
    <t>Biodrivstoff</t>
  </si>
  <si>
    <t xml:space="preserve">Her fylles inn informasjon for bygningsdel "Grunn og fundamenter". Dette er kun for dokumentasjon, så det kan lages referanser i fremtiden. </t>
  </si>
  <si>
    <t>Diesel</t>
  </si>
  <si>
    <t>b) Energibruk i drift</t>
  </si>
  <si>
    <t>Fyll inn energibruken i drift til alle bygningstypene i prosjektet ditt.</t>
  </si>
  <si>
    <r>
      <t>kWh/m</t>
    </r>
    <r>
      <rPr>
        <vertAlign val="super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 xml:space="preserve"> år</t>
    </r>
  </si>
  <si>
    <t>Elektrisitet, eksportert</t>
  </si>
  <si>
    <t>sum</t>
  </si>
  <si>
    <t>c) Sammensetning fjernvarme byggeår</t>
  </si>
  <si>
    <t xml:space="preserve">Fyll inn sammensetningen for fjernvarme i byggeåret. </t>
  </si>
  <si>
    <t>Du finner informasjon her: https://www.fjernkontrollen.no</t>
  </si>
  <si>
    <t>Dataene som ligger inne er fra Oslo, 2022.</t>
  </si>
  <si>
    <t>Byggeår</t>
  </si>
  <si>
    <t>Andel</t>
  </si>
  <si>
    <r>
      <t>Ujustert kg 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</si>
  <si>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Distributsjonstap</t>
  </si>
  <si>
    <t>Systemvirkningsgrad</t>
  </si>
  <si>
    <r>
      <t>kgCO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</si>
  <si>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Avfallsforbrenning</t>
  </si>
  <si>
    <t>Fossil olje</t>
  </si>
  <si>
    <t>Fossil gass</t>
  </si>
  <si>
    <t>Elektrokjel</t>
  </si>
  <si>
    <t>Bioenergi</t>
  </si>
  <si>
    <t>Varmepumpe</t>
  </si>
  <si>
    <t>Spillvarme, industri</t>
  </si>
  <si>
    <t>d) Sammensetning fjernvarme gjennom beregningsperioden</t>
  </si>
  <si>
    <t>Fyll inn sammensetningen for som gjennomsnitt beregningsperioden (50 år)</t>
  </si>
  <si>
    <t>Beregningen her hensyntar teknologiutvikling og endring i strømnettet.</t>
  </si>
  <si>
    <t>Du må ikke gjøre endringer her, med mindre du vet det vil skje endringer i fjernvarmenettet</t>
  </si>
  <si>
    <t>Gjennomsnitt</t>
  </si>
  <si>
    <t>e) Justering av underlag for C2 transport utslipp</t>
  </si>
  <si>
    <t>Om prosjektet kan begrunne bruk av forskjellige faktorer fra de standard verdiene vist under, skriv de nye verdien i de gule felter</t>
  </si>
  <si>
    <t>Faktor</t>
  </si>
  <si>
    <t>Standard verdi</t>
  </si>
  <si>
    <t>Prosjektspesifikk</t>
  </si>
  <si>
    <t>Transport avstand til avfallshåndtering</t>
  </si>
  <si>
    <t>km</t>
  </si>
  <si>
    <t>Transport utslippsfaktor til avfallshåndtering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</si>
  <si>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 / tonn km</t>
    </r>
  </si>
  <si>
    <t xml:space="preserve">Transport avstand til ombruk </t>
  </si>
  <si>
    <t>Reell transportavstand skal legges inn for ombruk.</t>
  </si>
  <si>
    <t>ZERO-B V3.0 Resultater totalt</t>
  </si>
  <si>
    <t>Siden viser oversikten over beregningene med ZERO-B metodikk</t>
  </si>
  <si>
    <t xml:space="preserve">"Beregnet" er utslippet for ditt spesifikke prosjekt. Det sammenlignes mot kravsnivået til FutureBuilt for det gitte byggeåret og bygningskategoriene. </t>
  </si>
  <si>
    <t>a) Hovedkriterium måloppnåelse:</t>
  </si>
  <si>
    <t>Beregnet</t>
  </si>
  <si>
    <t>Kravsnivå</t>
  </si>
  <si>
    <t>Måloppnåelse</t>
  </si>
  <si>
    <t>Materialer</t>
  </si>
  <si>
    <t>Energi i drift</t>
  </si>
  <si>
    <t>b) Tilleggskriterium oppnåelse: Grunn og Fundamenter</t>
  </si>
  <si>
    <t>c) Tilleggskriterium oppnåelse: Beregning av øvrige bygningsdeler</t>
  </si>
  <si>
    <t>Fundament</t>
  </si>
  <si>
    <t>Øvrige bygningsdeler</t>
  </si>
  <si>
    <t xml:space="preserve">Beregnet utslipp </t>
  </si>
  <si>
    <t>Bygget toalt</t>
  </si>
  <si>
    <t>% av bygget</t>
  </si>
  <si>
    <t>Husk å legge inn informasjon om grunn og fundamenter under "ZERO-B Beregning" for å finne kravsnivået</t>
  </si>
  <si>
    <t>b) Energibruk i byggefasen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</si>
  <si>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e/m</t>
    </r>
    <r>
      <rPr>
        <vertAlign val="superscript"/>
        <sz val="11"/>
        <color theme="1" tint="0.499984740745262"/>
        <rFont val="Replica-Light"/>
      </rPr>
      <t>2</t>
    </r>
  </si>
  <si>
    <t>c) Energibruk i drift</t>
  </si>
  <si>
    <t>d) Resultater for materialbruk (inkl. energi byggeplass)</t>
  </si>
  <si>
    <t>Resultatene gjelder for bygningsdel '2 - Bygning' og '49 - Solcellesystemer'</t>
  </si>
  <si>
    <r>
      <t>Per m</t>
    </r>
    <r>
      <rPr>
        <vertAlign val="superscript"/>
        <sz val="11"/>
        <rFont val="Replica-Light"/>
      </rPr>
      <t>2</t>
    </r>
  </si>
  <si>
    <t xml:space="preserve">Totale utslipp </t>
  </si>
  <si>
    <t>Byggefase (A1-A5)</t>
  </si>
  <si>
    <t>Produktstadiet
(A1-A3)</t>
  </si>
  <si>
    <t>Produksjon (A1-3)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</si>
  <si>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</t>
    </r>
  </si>
  <si>
    <t>Besparelse fra spesielle tillfeller</t>
  </si>
  <si>
    <t>Besparelse fra ombruk</t>
  </si>
  <si>
    <t>delsum</t>
  </si>
  <si>
    <r>
      <t>kgCO</t>
    </r>
    <r>
      <rPr>
        <b/>
        <vertAlign val="subscript"/>
        <sz val="11"/>
        <color theme="1" tint="0.499984740745262"/>
        <rFont val="Replica-Light"/>
      </rPr>
      <t>2</t>
    </r>
    <r>
      <rPr>
        <b/>
        <sz val="11"/>
        <color theme="1" tint="0.499984740745262"/>
        <rFont val="Replica-Light"/>
      </rPr>
      <t>e/m</t>
    </r>
    <r>
      <rPr>
        <b/>
        <vertAlign val="superscript"/>
        <sz val="11"/>
        <color theme="1" tint="0.499984740745262"/>
        <rFont val="Replica-Light"/>
      </rPr>
      <t>2</t>
    </r>
  </si>
  <si>
    <t>Byggeplass
(A4-A5)</t>
  </si>
  <si>
    <t>Transport (A4)</t>
  </si>
  <si>
    <t>Byggeplass svinn (A5)</t>
  </si>
  <si>
    <t>Byggeplass energi (A5)</t>
  </si>
  <si>
    <t>Bruksfase (B1-B5)</t>
  </si>
  <si>
    <t xml:space="preserve">Bruksfase </t>
  </si>
  <si>
    <t>Produksjon inkl. svinn (B4)</t>
  </si>
  <si>
    <t>Transport inkl. svinn (B4)</t>
  </si>
  <si>
    <t>Avfallsforbrenning (B4)</t>
  </si>
  <si>
    <t>Biogent opptak i skog (B1)</t>
  </si>
  <si>
    <t>Karbonatisering i sement (B1)</t>
  </si>
  <si>
    <t>Sluttfase (C2-C3)</t>
  </si>
  <si>
    <t>Sluttfase</t>
  </si>
  <si>
    <t>Avfallstransport (C2)</t>
  </si>
  <si>
    <t>Avfallsforbrenning (C3)</t>
  </si>
  <si>
    <t>Ombrukbarhet og gjenvinning (D)</t>
  </si>
  <si>
    <t>Uten systemgrense</t>
  </si>
  <si>
    <t>Ombrukbarhet (D)</t>
  </si>
  <si>
    <t>Materialgjenvinning (D)</t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</si>
  <si>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e/m</t>
    </r>
    <r>
      <rPr>
        <b/>
        <vertAlign val="superscript"/>
        <sz val="11"/>
        <rFont val="Replica-Light"/>
      </rPr>
      <t>2</t>
    </r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</si>
  <si>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</t>
    </r>
  </si>
  <si>
    <t>sum ink energibruk i drift</t>
  </si>
  <si>
    <t>Til sammenlikning: NS 3720 resultater</t>
  </si>
  <si>
    <t>Her vises resultatene for prosjektets material og energibruk beregnet etter typiske NS3720-forutsetninger, som angitt under.</t>
  </si>
  <si>
    <r>
      <t xml:space="preserve">A1-3 </t>
    </r>
    <r>
      <rPr>
        <sz val="9"/>
        <color theme="1" tint="0.34998626667073579"/>
        <rFont val="Replica-Light"/>
      </rPr>
      <t>(identisk)</t>
    </r>
  </si>
  <si>
    <r>
      <t xml:space="preserve">A4 </t>
    </r>
    <r>
      <rPr>
        <sz val="9"/>
        <color theme="1" tint="0.34998626667073579"/>
        <rFont val="Replica-Light"/>
      </rPr>
      <t>(identisk)</t>
    </r>
  </si>
  <si>
    <r>
      <t>B4-5</t>
    </r>
    <r>
      <rPr>
        <sz val="9"/>
        <color theme="1" tint="0.34998626667073579"/>
        <rFont val="Replica-Light"/>
      </rPr>
      <t xml:space="preserve"> (ulik*)</t>
    </r>
  </si>
  <si>
    <r>
      <t xml:space="preserve">B6 </t>
    </r>
    <r>
      <rPr>
        <sz val="9"/>
        <color theme="1" tint="0.34998626667073579"/>
        <rFont val="Replica-Light"/>
      </rPr>
      <t>(ulik**)</t>
    </r>
  </si>
  <si>
    <t>* B4-5 (ingen teknologi og tidsvekting, færre utslippskilder, ref. metodenotat)</t>
  </si>
  <si>
    <t>** B6 (avviker: tidsvekting, fjernvarme, eksportert energi)</t>
  </si>
  <si>
    <t>Tabell kun til informasjon</t>
  </si>
  <si>
    <r>
      <t>FutureBuilt Zero faktorer</t>
    </r>
    <r>
      <rPr>
        <sz val="11"/>
        <color theme="1"/>
        <rFont val="Replica-Light"/>
      </rPr>
      <t xml:space="preserve">    </t>
    </r>
  </si>
  <si>
    <t>Faktorene i denne tabellen brukes i beregningene og kan ikke endres.</t>
  </si>
  <si>
    <t>Totalfaktor</t>
  </si>
  <si>
    <t>Utslippskilde</t>
  </si>
  <si>
    <t>Byggefase</t>
  </si>
  <si>
    <t>Bruksfase</t>
  </si>
  <si>
    <t>Skal ganges med produktets</t>
  </si>
  <si>
    <t>Tilleggsinformasjon</t>
  </si>
  <si>
    <t>Produksjon og transport</t>
  </si>
  <si>
    <t>-</t>
  </si>
  <si>
    <r>
      <t>Utslipp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</si>
  <si>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Fremtidige produksjons og transportutslipp reduseres grunnet teknologiutvikling og tidspunkt for utslipp.</t>
  </si>
  <si>
    <t>Produksjon, PV</t>
  </si>
  <si>
    <t>Karbonopptak i sement</t>
  </si>
  <si>
    <t>Vekt [kg] * Sementinnhold [%]</t>
  </si>
  <si>
    <t>Karbonopptak i skog*</t>
  </si>
  <si>
    <t>Vekt [kg] * Treinnhold [%]</t>
  </si>
  <si>
    <t>Se fotnote om begrensning.</t>
  </si>
  <si>
    <t>Avfallsforbrenning tre</t>
  </si>
  <si>
    <t>Vekt [kg] * Treinnhold [%] * Andel forbrenning [%]</t>
  </si>
  <si>
    <t>Halvparten av utslippene allokeres til fjernvarmesektoren</t>
  </si>
  <si>
    <t>Avfallsforbrenning fossilt</t>
  </si>
  <si>
    <t>Vekt [kg] * Fossiltinnhold [%]  * Andel forbrenning [%]</t>
  </si>
  <si>
    <t>Ombruk</t>
  </si>
  <si>
    <r>
      <t>Utslipp i A1-A3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</si>
  <si>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Reduserer produksjonsutslippene med 80% i A1-A3</t>
  </si>
  <si>
    <t>Ombrukbarhet</t>
  </si>
  <si>
    <t>Må dokumenteres ihht. FutureBuilts kriterier for sirkulære bygg</t>
  </si>
  <si>
    <t>Energibruk</t>
  </si>
  <si>
    <t>Elektrisitet</t>
  </si>
  <si>
    <t>se tabell</t>
  </si>
  <si>
    <t>Energi, levert [kWh]</t>
  </si>
  <si>
    <t>Avhenger av år satt i drift (se tabell i 'bakgrunnstall')</t>
  </si>
  <si>
    <t>Fjernvarme, avfall</t>
  </si>
  <si>
    <t>*Begrensning: Biogent karbonopptak kan maksimalt kompensere for produktets produksjon og avfallshåndtering. Kan ikke kompensere for transport av materialene. Kan ikke kompensere for materialsvinn, hverken produksjon, transport eller avfallsforbrenning.</t>
  </si>
  <si>
    <t>ZERO-B Inndata for bygningsdelene 21-29 og 49.</t>
  </si>
  <si>
    <t>På denne siden skal det legges inn materialdata/beregningsresultater fra annen programvare, for hvert enkelt material i bygningsdelene 21-29 og 49. Merk at hver rad skal fylles ut for enten et vanlig materiale (Kolonne E-N) eller for ett spesialtilfelle (Kolonne O-V).</t>
  </si>
  <si>
    <t>I tillegg må noen tilleggsdata fylles inn for hvert material (Kolonne W-AF)</t>
  </si>
  <si>
    <t xml:space="preserve">NS 3720 beregninger gjort i annen programvare, og tilhørende data, limes direkte inn her. </t>
  </si>
  <si>
    <t>Produksjonsutslipp og transportutslipp i byggefase (A1-3 og A4) limes direkte inn.</t>
  </si>
  <si>
    <t>Resterende utslipp (byggeplass, driftsfase, og sluttfase) regnes ulikt fra NS 3720. For å beregne disse må en lime inn materialmengder, levetid, og mengde svinn fra annen programvare.</t>
  </si>
  <si>
    <t>Til slutt må det også for hvert material oppgis materialsammensetning (se arket 'Veileder-Materialsammensetning for forslag), og om produktet er ombrukt og tilrettelagt for ombrukbarhet (dokumentert etter FutureBuilts kriterier for sirkulære bygg)</t>
  </si>
  <si>
    <t>Produktinformasjon</t>
  </si>
  <si>
    <t>Klimagassutslipp byggefase</t>
  </si>
  <si>
    <t>Materialmengder</t>
  </si>
  <si>
    <r>
      <t xml:space="preserve">Materialsammensetning 
</t>
    </r>
    <r>
      <rPr>
        <sz val="12"/>
        <color theme="4" tint="0.79998168889431442"/>
        <rFont val="Replica-Light"/>
      </rPr>
      <t>(Se hjelpeark: Veileder materialsammensetning)</t>
    </r>
  </si>
  <si>
    <t xml:space="preserve">Spesialtilfeller </t>
  </si>
  <si>
    <t>Avfall fraksjoner i byggeår</t>
  </si>
  <si>
    <t>Annet</t>
  </si>
  <si>
    <t>kopier inn</t>
  </si>
  <si>
    <t>beregnes</t>
  </si>
  <si>
    <t>fyll inn</t>
  </si>
  <si>
    <t>som positiv verdi</t>
  </si>
  <si>
    <t>Velg</t>
  </si>
  <si>
    <t>Kan overstyres manuelt, henter opp generiske data</t>
  </si>
  <si>
    <t>velg fra rullegardinmeny</t>
  </si>
  <si>
    <t>Produksjonsutslipp i byggefase kan limes inn direkte fra annet beregningsverktøy.</t>
  </si>
  <si>
    <t>Transportutslipp fra byggefase kan limes inn direkte fra annet beregningsverktøy.</t>
  </si>
  <si>
    <t>Faktisk materialmengde benyttet i bygningen (ekskludert utskiftninger).</t>
  </si>
  <si>
    <t>Levetider legges inn som fraksjoner. Hvis et produkt har levetid på 30 år blir det 1,66 utskiftninger</t>
  </si>
  <si>
    <t>Kapp og svinn er prosjektavhengig, og med rette tiltak vil prosjektet kunne redusere utslipp betydelig.</t>
  </si>
  <si>
    <t>Sementinnholdet varierer mellom betongtyper. Lavkarbonbetong har typisk lavere sementinnhold.</t>
  </si>
  <si>
    <t>Bygnings-del</t>
  </si>
  <si>
    <t>Materialkategori</t>
  </si>
  <si>
    <t>Navn</t>
  </si>
  <si>
    <r>
      <t>Produksjon (A1-3)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</si>
  <si>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r>
      <t>Transport (A4)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</si>
  <si>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t>Mengde [kg]</t>
  </si>
  <si>
    <t>Levetid [år]</t>
  </si>
  <si>
    <t># utskiftinger</t>
  </si>
  <si>
    <t>Utskiftninger [kg]</t>
  </si>
  <si>
    <t>Svinn</t>
  </si>
  <si>
    <t>Treinnhold</t>
  </si>
  <si>
    <t>Fossiltinnhold</t>
  </si>
  <si>
    <t>Sementinnhold</t>
  </si>
  <si>
    <t>Masse biokull [kg]</t>
  </si>
  <si>
    <r>
      <t>Utslippsfaktor A1-A3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</si>
  <si>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 xml:space="preserve">Karbon innhold [kg C / kg] </t>
  </si>
  <si>
    <r>
      <t>Utslippsfaktor A4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</si>
  <si>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Mass ettårige vekster [kg]</t>
  </si>
  <si>
    <t>Karbon innhold [kg C / kg]</t>
  </si>
  <si>
    <t>Sannsynlig avfallsmetode</t>
  </si>
  <si>
    <t>Forbrenning</t>
  </si>
  <si>
    <t>Deponi</t>
  </si>
  <si>
    <t>Materialgjennvinning</t>
  </si>
  <si>
    <t>Overskudd</t>
  </si>
  <si>
    <t>Bevaring</t>
  </si>
  <si>
    <t>Ombruk-barhet</t>
  </si>
  <si>
    <t>Solceller</t>
  </si>
  <si>
    <t>Concrete</t>
  </si>
  <si>
    <t>"Concrete"</t>
  </si>
  <si>
    <t>ZERO-B: Detaljerte resultater fra bygningsdelene 21-29 og 49.</t>
  </si>
  <si>
    <t>Denne siden viser en detaljert resultatoversikt.</t>
  </si>
  <si>
    <r>
      <t>Beregnede klimagassutslipp etter FutureBuilt ZERO metoden, med enhet [kgCO</t>
    </r>
    <r>
      <rPr>
        <vertAlign val="subscript"/>
        <sz val="11"/>
        <color theme="1"/>
        <rFont val="Replica-Light"/>
      </rPr>
      <t>2</t>
    </r>
    <r>
      <rPr>
        <sz val="11"/>
        <color theme="1"/>
        <rFont val="Replica-Light"/>
      </rPr>
      <t>e].</t>
    </r>
  </si>
  <si>
    <r>
      <t>Klimagassutslipp byggefase
[kg CO</t>
    </r>
    <r>
      <rPr>
        <vertAlign val="subscript"/>
        <sz val="18"/>
        <color theme="4" tint="0.79995117038483843"/>
        <rFont val="Replica-Light"/>
      </rPr>
      <t>2</t>
    </r>
    <r>
      <rPr>
        <sz val="22"/>
        <color theme="4" tint="0.79998168889431442"/>
        <rFont val="Replica-Light"/>
      </rPr>
      <t>e]</t>
    </r>
  </si>
  <si>
    <r>
      <t>Klimagassutslipp bruksfase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</si>
  <si>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r>
      <t>Klimagassutslipp sluttfase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</si>
  <si>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t>Sannsynlighetsfaktorer
[ % ]</t>
  </si>
  <si>
    <t>NS 3720</t>
  </si>
  <si>
    <t>Totalsum</t>
  </si>
  <si>
    <t>A1-3</t>
  </si>
  <si>
    <t>A4</t>
  </si>
  <si>
    <t>A5 (svinn)</t>
  </si>
  <si>
    <t>B1</t>
  </si>
  <si>
    <t>B4</t>
  </si>
  <si>
    <t>C2</t>
  </si>
  <si>
    <t>C3</t>
  </si>
  <si>
    <t>D</t>
  </si>
  <si>
    <t>C &amp; D</t>
  </si>
  <si>
    <t>Delsum</t>
  </si>
  <si>
    <t>uendret</t>
  </si>
  <si>
    <t>beregnet</t>
  </si>
  <si>
    <t>Produksjon</t>
  </si>
  <si>
    <t>Transport</t>
  </si>
  <si>
    <t>Produksjon og transport inkl. svinn</t>
  </si>
  <si>
    <t>Produksjon utslipp</t>
  </si>
  <si>
    <t>Fratrekk</t>
  </si>
  <si>
    <t>Materialgjenvinning</t>
  </si>
  <si>
    <t>Sannsynlighet for avfallscenario, år 51</t>
  </si>
  <si>
    <t xml:space="preserve"> Sum:</t>
  </si>
  <si>
    <t>A1-A3</t>
  </si>
  <si>
    <t>A1-A3 ombrkt</t>
  </si>
  <si>
    <t>A1-A3 overskudd</t>
  </si>
  <si>
    <t>A1-A3 bevaring</t>
  </si>
  <si>
    <t>A1-A3 biokull produksjon</t>
  </si>
  <si>
    <t>A1-A3 biokull fratrekk</t>
  </si>
  <si>
    <t>A1-A3 ettårigevekst produksjon</t>
  </si>
  <si>
    <t>A1-A3 ettårigevekst fratrekk</t>
  </si>
  <si>
    <t>A4 biokull</t>
  </si>
  <si>
    <t>A4 ettårigevekster</t>
  </si>
  <si>
    <t>A5 kapp og svinn produksjon</t>
  </si>
  <si>
    <t>A5 kapp og svinn spesiell tilfeller</t>
  </si>
  <si>
    <t>A5 kapp og svinn transport til byggeplass</t>
  </si>
  <si>
    <t>A5 kapp og svinn transport fra byggeplass</t>
  </si>
  <si>
    <t>A5 kapp og svinn forbrenning</t>
  </si>
  <si>
    <t>B1 
biogent opptak</t>
  </si>
  <si>
    <t>B1 sementopptak</t>
  </si>
  <si>
    <t>B4 
produksjon</t>
  </si>
  <si>
    <t>B4 spesiell tilfeller</t>
  </si>
  <si>
    <t>B4 transport til byggeplass</t>
  </si>
  <si>
    <t>B4 transport fra byggeplass</t>
  </si>
  <si>
    <t>B4 
forbrenning</t>
  </si>
  <si>
    <t>D ombrukbarhet</t>
  </si>
  <si>
    <t>D materialgjenvinning</t>
  </si>
  <si>
    <t>Material-gjenvinning</t>
  </si>
  <si>
    <t>ZERO-B: Oppsummerte resultater fra bygningsdelene 21-29 og 49.</t>
  </si>
  <si>
    <t>Denne siden viser en komprimert resultatoversikt.</t>
  </si>
  <si>
    <t>Beregnede klimagassutslipp etter FutureBuilt ZERO metoden, med enhet [kgCO2e].</t>
  </si>
  <si>
    <t>SUM</t>
  </si>
  <si>
    <t>Driftsfase</t>
  </si>
  <si>
    <t>Bygningsdel</t>
  </si>
  <si>
    <t>Utskiftninger</t>
  </si>
  <si>
    <t>Karbonopptak</t>
  </si>
  <si>
    <t>Utenfor systemgrensen</t>
  </si>
  <si>
    <t>Tilleggskriterium: Grunn og fundamenter</t>
  </si>
  <si>
    <t>FutureBuilt ZERO prosjekter skal ha 50 prosent lavere utslipp enn beregnet referanseverdi.</t>
  </si>
  <si>
    <t xml:space="preserve">Grunn og fundamenter er et tilleggskriterium, men skal utføres for alle FutureBuilt forbildeprosjekter. </t>
  </si>
  <si>
    <t>På denne siden skal det legges inn materialdata/beregningsresultater fra annen programvare, for grunn og fundamenter.</t>
  </si>
  <si>
    <t>Samme metodikk som Inndata for bygningsdel 21-29 og 49 benyttes.</t>
  </si>
  <si>
    <t xml:space="preserve"> Treinnhold</t>
  </si>
  <si>
    <t>Utslippsfaktor A1-A3 [kg CO2e / kg]</t>
  </si>
  <si>
    <t xml:space="preserve">Karbon innhold [kg CO / kg] </t>
  </si>
  <si>
    <t>Utslippsfaktor A4 [kg CO2e / kg]</t>
  </si>
  <si>
    <t>21 Grunn og 
fundamenter</t>
  </si>
  <si>
    <t>Et normalt produkt</t>
  </si>
  <si>
    <t>Et tilfeldig treprodukt</t>
  </si>
  <si>
    <t>Trevirke</t>
  </si>
  <si>
    <t>ZERO-B: Detaljerte resultater fra Grunn og Fundamenter</t>
  </si>
  <si>
    <t>Klimagassutslipp bruksfase</t>
  </si>
  <si>
    <t>Klimagassutslipp sluttfase</t>
  </si>
  <si>
    <t>uendret utenom ombruk</t>
  </si>
  <si>
    <t>B1 biogent opptak</t>
  </si>
  <si>
    <t>B4 produksjon</t>
  </si>
  <si>
    <t>B4 forbrenning</t>
  </si>
  <si>
    <t>Tilleggskriterium: Beregning av øvrige bygningsdeler</t>
  </si>
  <si>
    <t xml:space="preserve">Det skal utføres klimagassberegninger av øvrige bygningsdeler: </t>
  </si>
  <si>
    <t>Det kommer automatisk generiske data for levetider og avfallstype. Disse kan enten overstyres direkte inn i regnearket eller endres i "Lister og verdier".</t>
  </si>
  <si>
    <t>Spesialtilfeller (Ikke like relevant for øvrige bygningsdeler)</t>
  </si>
  <si>
    <t>Produksjon (A1-3) [kgCO2e]</t>
  </si>
  <si>
    <t>Transport (A4) [kgCO2e]</t>
  </si>
  <si>
    <t>Biogen karbon innhold</t>
  </si>
  <si>
    <t>Karbon innhold</t>
  </si>
  <si>
    <r>
      <t>Karbon innhold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</si>
  <si>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31 Sanitær</t>
  </si>
  <si>
    <t>Porselen og plast</t>
  </si>
  <si>
    <t>Sanitæranlegg</t>
  </si>
  <si>
    <t>Blandet avfall</t>
  </si>
  <si>
    <t>ZERO-B: Detaljerte resultater fra Øvrige bygningsdeler</t>
  </si>
  <si>
    <t>Rapportering av klimagassberegningene i hnt FutureBuilt ZERO-B V3.0</t>
  </si>
  <si>
    <t>Denne siden viser hva som skal rapporteres i den digitale rapporteringsløsningen til FutureBuilt ZERO.</t>
  </si>
  <si>
    <t>1) Gå til rapporteringsløsningen gjennom ZERO-Portalen eller via denne linken:</t>
  </si>
  <si>
    <t>https://portfolio.reduzer.com/c/future-built</t>
  </si>
  <si>
    <t xml:space="preserve">Opprett bruker og registrer bygget ditt. </t>
  </si>
  <si>
    <t>2) Klikk på "Manage Project" og til høyre på siden klikk på "Add New Project"</t>
  </si>
  <si>
    <t>Trykk på "View" ved siden av prosjektnavnet og du kommer nå til ditt nye prosjekt.</t>
  </si>
  <si>
    <t>3) Opprett bygget ditt. Klikk på ikonet øverst til høyre på siden din og fyll ut bygningsnavn, lokasjon, startdato og ferdigstillelsesdato.</t>
  </si>
  <si>
    <t>4) Lag ny rapport ved å trykke på "Add Report"</t>
  </si>
  <si>
    <t>Fyll inn nødvendig informasjon og velg FutureBuilt ZERO V3 beregning</t>
  </si>
  <si>
    <t>Velg ZERO Bygg - Hovedkriterium for å fylle inn resultatene fra denne beregningen.</t>
  </si>
  <si>
    <t xml:space="preserve">NB: Benchmark data fylles manuelt inn. </t>
  </si>
  <si>
    <t>Ettersom ZERO-B V3.0 har ulike krav til bygningskategorier, kommer ikke kravsnivå automatisk opp.</t>
  </si>
  <si>
    <t>Fordi de ulike bygningskategoriene har ulike kravsnivå må vi legge inn en manuell inntasting i rapporteringsløsningen.</t>
  </si>
  <si>
    <t xml:space="preserve">Lukk vinduet, og denne informasjonen fylles inn i neste steg. </t>
  </si>
  <si>
    <t>5) Fyll inn "General Report Data" øverst ved å trykke på penn-ikonet i Dashboard</t>
  </si>
  <si>
    <t xml:space="preserve">Her er det tekst som skal fylles inn som beskriver prosjektet og prosjektets ambisjoner. </t>
  </si>
  <si>
    <t>6) Fyll inn "Version Results Data" ved å trykke på hus-ikonet.</t>
  </si>
  <si>
    <t>I denne rapporteringsdelen skal vi legge inn kravsnivå, og resultatene fra beregningene for energibruk og materialbruk</t>
  </si>
  <si>
    <t>6a) I fanen "Version Data" fyller vi inn er her vi skal fylle inn kravsnivå, som ga en melding om manglende Benchmark tidligere.</t>
  </si>
  <si>
    <t>Tabellen under henter informasjon fra arket "Prosjektinformasjon"</t>
  </si>
  <si>
    <t>Beregnet totalt kravsnivå, år</t>
  </si>
  <si>
    <t>Beregnet material kravsnivå, år</t>
  </si>
  <si>
    <t>Beregnet energi kravsnivå, år</t>
  </si>
  <si>
    <t>6b) I fanen "Energy Results" fyller du inn det beregnede CO2-utslippet fra bygge og driftsfase.</t>
  </si>
  <si>
    <t>Energi: Levert</t>
  </si>
  <si>
    <t>kgCO2e</t>
  </si>
  <si>
    <t>Energi: Eksportert</t>
  </si>
  <si>
    <t>Gass</t>
  </si>
  <si>
    <t>6c) I fanen "Material Results" fyller du inn utslippet per bygningsdel</t>
  </si>
  <si>
    <t>Kolonneetiketter</t>
  </si>
  <si>
    <t>Verdier</t>
  </si>
  <si>
    <t>Summer av A1-A3</t>
  </si>
  <si>
    <t>Summer av A1-A3 ombrkt</t>
  </si>
  <si>
    <t>Summer av A1-A3 overskudd</t>
  </si>
  <si>
    <t>Summer av A1-A3 bevaring</t>
  </si>
  <si>
    <t>Summer av A1-A3 biokull produksjon</t>
  </si>
  <si>
    <t>Summer av A1-A3 biokull fratrekk</t>
  </si>
  <si>
    <t>Summer av A1-A3 ettårigevekst produksjon</t>
  </si>
  <si>
    <t>Summer av A1-A3 ettårigevekst fratrekk</t>
  </si>
  <si>
    <t>Summer av A4</t>
  </si>
  <si>
    <t>Summer av A4 biokull</t>
  </si>
  <si>
    <t>Summer av A4 ettårigevekster</t>
  </si>
  <si>
    <t>Summer av A5 kapp og svinn produksjon</t>
  </si>
  <si>
    <t>Summer av A5 kapp og svinn spesiell tilfeller</t>
  </si>
  <si>
    <t>Summer av A5 kapp og svinn transport til byggeplass</t>
  </si>
  <si>
    <t>Summer av A5 kapp og svinn transport fra byggeplass</t>
  </si>
  <si>
    <t>Summer av A5 kapp og svinn forbrenning</t>
  </si>
  <si>
    <t>Summer av B1 
biogent opptak</t>
  </si>
  <si>
    <t>Summer av B1 sementopptak</t>
  </si>
  <si>
    <t>Summer av B4 
produksjon</t>
  </si>
  <si>
    <t>Summer av B4 spesiell tilfeller</t>
  </si>
  <si>
    <t>Summer av B4 transport til byggeplass</t>
  </si>
  <si>
    <t>Summer av B4 transport fra byggeplass</t>
  </si>
  <si>
    <t>Summer av B4 
forbrenning</t>
  </si>
  <si>
    <t>Summer av C2</t>
  </si>
  <si>
    <t>Summer av C3</t>
  </si>
  <si>
    <t>Summer av D ombrukbarhet</t>
  </si>
  <si>
    <t>Summer av D materialgjenvinning</t>
  </si>
  <si>
    <t>Informasjon om arket</t>
  </si>
  <si>
    <t xml:space="preserve">Dette arket viser kravsnivå fordelt etter bygningskategori. Her kan man hver for seg se kravsnivå for energibruk, materialbruk og totalt. </t>
  </si>
  <si>
    <t>Tabell 1 er den samlede oversikten over alle kravsnivåene.</t>
  </si>
  <si>
    <t>Tabell 2 er oppsummering av kravsnivå og bransjereferansen for bygningskategoriene som er fylt inn i "Prosjektinformasjon"</t>
  </si>
  <si>
    <t xml:space="preserve">Tabell 3 er en sammenstilling av materialkrav, energikrav og totalkrav hver for seg etter bygningskateoriene. </t>
  </si>
  <si>
    <t>Tabell 4 er en sammenstilling av totalkraf hver for seg etter bygningskategoriene</t>
  </si>
  <si>
    <r>
      <t>Tabell 5 viser beregnet kravsnivå og referanse pr m</t>
    </r>
    <r>
      <rPr>
        <vertAlign val="super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 xml:space="preserve"> for grunn og fundamenter</t>
    </r>
  </si>
  <si>
    <t>Tabell 1: Samlet kravsnivå for materialer, energibruk og totalt, etter bygningstyper.</t>
  </si>
  <si>
    <t>FutureBuilt ZERO V2.0</t>
  </si>
  <si>
    <t>Småhus</t>
  </si>
  <si>
    <t>Boligblokk</t>
  </si>
  <si>
    <t>Barnehage</t>
  </si>
  <si>
    <t>Skolebygg</t>
  </si>
  <si>
    <t>Universitet/ høyskole</t>
  </si>
  <si>
    <t>Sykehus</t>
  </si>
  <si>
    <t>Sykehjem</t>
  </si>
  <si>
    <t>Hotellbygning</t>
  </si>
  <si>
    <t>Idrettsbygning/ flerbrukshall</t>
  </si>
  <si>
    <t>Forretning/ næring</t>
  </si>
  <si>
    <t>Kulturbygning</t>
  </si>
  <si>
    <t>Lett industri/ verksted</t>
  </si>
  <si>
    <t>År</t>
  </si>
  <si>
    <t>ZERO V2 Materialer</t>
  </si>
  <si>
    <t>ZERO V2 Energi</t>
  </si>
  <si>
    <t>ZERO V2 Total</t>
  </si>
  <si>
    <t>Småhus Materialer</t>
  </si>
  <si>
    <t>Småhus Energi</t>
  </si>
  <si>
    <t>Småhus Total</t>
  </si>
  <si>
    <t>Boligblokk Materialer</t>
  </si>
  <si>
    <t>Boligblokk Energi</t>
  </si>
  <si>
    <t>Boligblokk Total</t>
  </si>
  <si>
    <t>Barnehage Materialer</t>
  </si>
  <si>
    <t>Barnehage Energi</t>
  </si>
  <si>
    <t>Barnehage Total</t>
  </si>
  <si>
    <t>Skolebygg Materialer</t>
  </si>
  <si>
    <t>Skolebygg Energi</t>
  </si>
  <si>
    <t>Skolebygg Total</t>
  </si>
  <si>
    <t>Kontor Materialer</t>
  </si>
  <si>
    <t>Kontor Energi</t>
  </si>
  <si>
    <t>Kontor Total</t>
  </si>
  <si>
    <t>Universitet/ høyskole Materialer</t>
  </si>
  <si>
    <t>Universitet/ høyskole Energi</t>
  </si>
  <si>
    <t>Universitet/ høyskole Total</t>
  </si>
  <si>
    <t>Sykehus Materialer</t>
  </si>
  <si>
    <t>Sykehus Energi</t>
  </si>
  <si>
    <t>Sykehus Total</t>
  </si>
  <si>
    <t>Sykehjem Materialer</t>
  </si>
  <si>
    <t>Sykehjem Energi</t>
  </si>
  <si>
    <t>Sykehjem Total</t>
  </si>
  <si>
    <t>Hotellbygning Materialer</t>
  </si>
  <si>
    <t>Hotellbygning Energi</t>
  </si>
  <si>
    <t>Hotellbygning Total</t>
  </si>
  <si>
    <t>Idrettsbygning/ flerbrukshall Materialer</t>
  </si>
  <si>
    <t>Idrettsbygning/ flerbrukshall Energi</t>
  </si>
  <si>
    <t>Idrettsbygning/ flerbrukshall Total</t>
  </si>
  <si>
    <t>Forretning/ næring Materialer</t>
  </si>
  <si>
    <t>Forretning/ næring Energi</t>
  </si>
  <si>
    <t>Forretning/ næring Total</t>
  </si>
  <si>
    <t>Kulturbygning Materialer</t>
  </si>
  <si>
    <t>Kulturbygning Energi</t>
  </si>
  <si>
    <t>Kulturbygning Total</t>
  </si>
  <si>
    <t>Lett industri/ verksted Materialer</t>
  </si>
  <si>
    <t>Lett industri/ verksted Energi</t>
  </si>
  <si>
    <t>Lett industri/ verksted Total</t>
  </si>
  <si>
    <t>Tabell 2: Beregnede kravsnivå for bygningskategoriene i prosjektet</t>
  </si>
  <si>
    <t>Bransjeref.</t>
  </si>
  <si>
    <t>Tabell 3: Totalkrav for bygningstypene</t>
  </si>
  <si>
    <t>Tabell 4: Energikrav for bygningstypene</t>
  </si>
  <si>
    <t>Tabell 5: Materialkrav for bygningstypene</t>
  </si>
  <si>
    <t>Universitet/Høyskole</t>
  </si>
  <si>
    <t>Idrettsbygning/Flerbrukshall</t>
  </si>
  <si>
    <t>Forretning/Næring</t>
  </si>
  <si>
    <t>Lett industri/ Verksted</t>
  </si>
  <si>
    <r>
      <t>Tabell 5: Kravsnivå pr m</t>
    </r>
    <r>
      <rPr>
        <vertAlign val="superscript"/>
        <sz val="18"/>
        <color theme="1"/>
        <rFont val="Helvetica"/>
        <family val="2"/>
        <scheme val="minor"/>
      </rPr>
      <t>2</t>
    </r>
    <r>
      <rPr>
        <sz val="18"/>
        <color theme="1"/>
        <rFont val="Helvetica"/>
        <family val="2"/>
        <scheme val="minor"/>
      </rPr>
      <t xml:space="preserve"> for grunn og fundamenter, gitt løsningene som er valgt i celle F23 i "Tillegg - Grunn og fundamenter"</t>
    </r>
  </si>
  <si>
    <t>Prosjekttilpassede verdier</t>
  </si>
  <si>
    <t xml:space="preserve">  NB: Resultatene kommer ikke opp her før det er fylt ut løsning</t>
  </si>
  <si>
    <t>Ref.</t>
  </si>
  <si>
    <t xml:space="preserve">  for grunn og fundamenter under "ZERO-B Beregning".</t>
  </si>
  <si>
    <t xml:space="preserve">Dette arket skal ikke benyttes av bruker for beregningene. Det er lagt ved for å gi transparens til beregningene. </t>
  </si>
  <si>
    <t>Antall år etter ferdigstillelse</t>
  </si>
  <si>
    <t>År spesific tidsvekting</t>
  </si>
  <si>
    <t>År spesific teknologivekting: d = 0,01</t>
  </si>
  <si>
    <t>År spesific teknologivekting: d = 0,037</t>
  </si>
  <si>
    <t>f_tid_x_f_tek_d_0,01</t>
  </si>
  <si>
    <t>f_tid_x_f_tek_d_0,037</t>
  </si>
  <si>
    <t>Antall utskiftninger</t>
  </si>
  <si>
    <t>Antall hele utskiftninger</t>
  </si>
  <si>
    <t>Andel siste utskifting</t>
  </si>
  <si>
    <t>f_tid_x_f_tek_d_0,01_hele_utskiftinger</t>
  </si>
  <si>
    <t>f_tid_x_f_tek_d_0,01_delvis_utskiftinger</t>
  </si>
  <si>
    <t>f_tid_x_f_tek_d_0,01_kumulativ</t>
  </si>
  <si>
    <t>f_tid_x_f_tek_d_0,037_hele_utskiftinger</t>
  </si>
  <si>
    <t>f_tid_x_f_tek_d_0,037_delvis_utskiftinger</t>
  </si>
  <si>
    <t>f_tid_x_f_tek_d_0,037_kumulativ</t>
  </si>
  <si>
    <t>e^-0,034t</t>
  </si>
  <si>
    <t>f_tid_x_f_tek_f_fb_d_0,01</t>
  </si>
  <si>
    <t>f_tid_x_f_tek_f_fb_d_0,037</t>
  </si>
  <si>
    <t>f_tid_x_f_tek_f_fb_d_0,01_hele_utskiftinger</t>
  </si>
  <si>
    <t>f_tid_x_f_tek_f_fb_d_0,01_delvis_utskiftinger</t>
  </si>
  <si>
    <t>f_tid_x_f_tek_f_fb_d_0,01_kumulativ</t>
  </si>
  <si>
    <t>f_tid_x_f_tek_f_fb_d_0,037_hele_utskiftinger</t>
  </si>
  <si>
    <t>f_tid_x_f_tek_f_fb_d_0,037_delvis_utskiftinger</t>
  </si>
  <si>
    <t>f_tid_x_f_tek_f_fb_d_0,037_kumulativ</t>
  </si>
  <si>
    <t>e^-0,03(t - tau)</t>
  </si>
  <si>
    <t>første tau</t>
  </si>
  <si>
    <t>Antall ledd</t>
  </si>
  <si>
    <t>sum e^-0,03(i-tau)</t>
  </si>
  <si>
    <t>hele utskiftninger</t>
  </si>
  <si>
    <t>delvis utskiftning</t>
  </si>
  <si>
    <t>karbon_opptak_faktor</t>
  </si>
  <si>
    <t>karbon_opptak_faktor_kumulativ</t>
  </si>
  <si>
    <t>Verdi</t>
  </si>
  <si>
    <t>Beregningsperiode</t>
  </si>
  <si>
    <t>år</t>
  </si>
  <si>
    <r>
      <t>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tonn km</t>
    </r>
  </si>
  <si>
    <t>Transport utslipp til avfallshåndtering per kg</t>
  </si>
  <si>
    <r>
      <t>kg 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kg</t>
    </r>
  </si>
  <si>
    <t>Transport utslipp til avfallshåndtering per kg for ombruk</t>
  </si>
  <si>
    <r>
      <t>FutureBuilt ZERO faktorer [kgCO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e/kWh]</t>
    </r>
  </si>
  <si>
    <t>Andel av avfall avfallsforbrent</t>
  </si>
  <si>
    <t>Elektrisitet snitt</t>
  </si>
  <si>
    <t>Fjernvarme snitt - avfall</t>
  </si>
  <si>
    <t>Elektrisitet i gitt år</t>
  </si>
  <si>
    <t>Fjernvarme i gitt år - avfall</t>
  </si>
  <si>
    <t>Fundament_typer</t>
  </si>
  <si>
    <t>Fundament_konstant_faktor</t>
  </si>
  <si>
    <t>Fundament_BTA_faktor</t>
  </si>
  <si>
    <t>Fundament_fotavtrykk_faktor</t>
  </si>
  <si>
    <t>År_fundament_kravfaktorer</t>
  </si>
  <si>
    <t>Fundament kravfaktor</t>
  </si>
  <si>
    <t>Direktefundamentering med bunnplate</t>
  </si>
  <si>
    <t xml:space="preserve">Disse formlene er skilt i beregningen for å tydeligere vise sammenheng mellom </t>
  </si>
  <si>
    <t>metodenotat og beregningsverktøy</t>
  </si>
  <si>
    <t>Tabell 2: Denne tabellen viser materialsamensetningen til ulike materialtyper</t>
  </si>
  <si>
    <t>Produkttype</t>
  </si>
  <si>
    <t>Materialsammensetning</t>
  </si>
  <si>
    <t>Velg bygningsdel</t>
  </si>
  <si>
    <t>Lister og nedtrekksmenyer</t>
  </si>
  <si>
    <t>20 Bygning, generelt</t>
  </si>
  <si>
    <t>ESP iso</t>
  </si>
  <si>
    <t>Tidlig design</t>
  </si>
  <si>
    <t>Vinyl</t>
  </si>
  <si>
    <t>22 Bæresystemer</t>
  </si>
  <si>
    <t>Sen design</t>
  </si>
  <si>
    <t>Vegg-vegg teppe</t>
  </si>
  <si>
    <t>23 Yttervegger</t>
  </si>
  <si>
    <t>Som bygget</t>
  </si>
  <si>
    <t>Stål/Industri dør</t>
  </si>
  <si>
    <t>24 Innervegger</t>
  </si>
  <si>
    <t>Vanntetningsmembran</t>
  </si>
  <si>
    <t>25 Dekker</t>
  </si>
  <si>
    <t>Dampsperre</t>
  </si>
  <si>
    <t>26 Yttertak</t>
  </si>
  <si>
    <t>Skillevegg tre</t>
  </si>
  <si>
    <t>27 Fast inventar</t>
  </si>
  <si>
    <t>Balkongdør m alu</t>
  </si>
  <si>
    <t>28 Trapper,
balkonger, m.m.</t>
  </si>
  <si>
    <t>Skyvedør m alu</t>
  </si>
  <si>
    <t>29 Andre
bygningsmessige
deler</t>
  </si>
  <si>
    <t>Tredør</t>
  </si>
  <si>
    <t>30 Generelt vedr.
VVS-installasjoner</t>
  </si>
  <si>
    <t>Tredør m glass</t>
  </si>
  <si>
    <t>Tredør m alu</t>
  </si>
  <si>
    <t>32 Varme</t>
  </si>
  <si>
    <t>Tredør m alu/glass</t>
  </si>
  <si>
    <t>33 Brannslokking</t>
  </si>
  <si>
    <t>Vindu Alu-tre</t>
  </si>
  <si>
    <t>34 Gassog trykkluft</t>
  </si>
  <si>
    <t>Vindu Alu-tre fast karm</t>
  </si>
  <si>
    <t>35 Prosesskjøling</t>
  </si>
  <si>
    <t>Vindu Tre-tre</t>
  </si>
  <si>
    <t>36 Luftbehandling</t>
  </si>
  <si>
    <t>Vindu tre-tre fast karm</t>
  </si>
  <si>
    <t>37 Komfortkjøling</t>
  </si>
  <si>
    <t>Glassfasade</t>
  </si>
  <si>
    <t>38 Vannbehandling</t>
  </si>
  <si>
    <t>Kryssfiner laminert</t>
  </si>
  <si>
    <t>39 Andre VVS-
installasjoner</t>
  </si>
  <si>
    <t>Lett industri/Verksted</t>
  </si>
  <si>
    <t>Kryssfiner</t>
  </si>
  <si>
    <t>4 Elkraft</t>
  </si>
  <si>
    <t>CLT</t>
  </si>
  <si>
    <t>40 Elkraft, generelt</t>
  </si>
  <si>
    <t>LVL</t>
  </si>
  <si>
    <t>41 Basisinstallasjoner
forelkraft</t>
  </si>
  <si>
    <t>Parkett</t>
  </si>
  <si>
    <t>42 Høyspent
forsyning</t>
  </si>
  <si>
    <t>Linoleum (biomasse)</t>
  </si>
  <si>
    <t>43 Lavspent
forsyning</t>
  </si>
  <si>
    <t>Gipsplater</t>
  </si>
  <si>
    <t>44 Lys</t>
  </si>
  <si>
    <t>Asfalttakpapp</t>
  </si>
  <si>
    <t>45 Elvarme</t>
  </si>
  <si>
    <t>PEHD rør (plastrør)</t>
  </si>
  <si>
    <t>46 Reservekraft</t>
  </si>
  <si>
    <t>Flislim</t>
  </si>
  <si>
    <t>49 Andre
elkraftinstallasjon
er</t>
  </si>
  <si>
    <t>Betong: Lavkarbon Extrem +</t>
  </si>
  <si>
    <t>Betong: Lavkarbon A</t>
  </si>
  <si>
    <t>Betong: Lavkarbon B</t>
  </si>
  <si>
    <t>Betong: Bransje, standard</t>
  </si>
  <si>
    <t>Faktor avfallshåndtering</t>
  </si>
  <si>
    <t>Avfallskategori</t>
  </si>
  <si>
    <t>Fylmasser</t>
  </si>
  <si>
    <t>Gjenvinning</t>
  </si>
  <si>
    <t>Betong og tegl</t>
  </si>
  <si>
    <t>EE-avfall</t>
  </si>
  <si>
    <t>Farlig avfall</t>
  </si>
  <si>
    <t>Glass</t>
  </si>
  <si>
    <t>Gummi</t>
  </si>
  <si>
    <t>Metall</t>
  </si>
  <si>
    <t>Plast</t>
  </si>
  <si>
    <t>Stein</t>
  </si>
  <si>
    <t>Tekstiler</t>
  </si>
  <si>
    <t>Udefinert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</si>
</sst>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0;\-0;;@"/>
    <numFmt numFmtId="165" formatCode="0.0\ %"/>
    <numFmt numFmtId="166" formatCode="_-* #,##0_-;\-* #,##0_-;_-* &quot;-&quot;??_-;_-@_-"/>
    <numFmt numFmtId="167" formatCode="0.000"/>
    <numFmt numFmtId="168" formatCode="0.0"/>
    <numFmt numFmtId="169" formatCode="0.0000"/>
    <numFmt numFmtId="170" formatCode="#,##0.00000"/>
    <numFmt numFmtId="171" formatCode="#,##0.0000000"/>
    <numFmt numFmtId="172" formatCode="#,##0.000000"/>
    <numFmt numFmtId="173" formatCode="#,##0.0000"/>
    <numFmt numFmtId="174" formatCode="#,##0_ ;\-#,##0\ "/>
  </numFmts>
  <fonts count="116">
    <font>
      <sz val="11"/>
      <color theme="1"/>
      <name val="Helvetica"/>
      <family val="2"/>
      <scheme val="minor"/>
    </font>
    <font>
      <sz val="12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b/>
      <sz val="11"/>
      <color theme="1"/>
      <name val="Helvetica"/>
      <family val="2"/>
      <scheme val="minor"/>
    </font>
    <font>
      <b/>
      <sz val="11"/>
      <color theme="8" tint="-0.499984740745262"/>
      <name val="Helvetica"/>
      <family val="2"/>
      <scheme val="minor"/>
    </font>
    <font>
      <sz val="11"/>
      <color theme="1" tint="0.34998626667073579"/>
      <name val="Helvetica"/>
      <family val="2"/>
      <scheme val="minor"/>
    </font>
    <font>
      <sz val="11"/>
      <color theme="2" tint="-0.499984740745262"/>
      <name val="Helvetica"/>
      <family val="2"/>
      <scheme val="minor"/>
    </font>
    <font>
      <sz val="14"/>
      <color theme="4" tint="0.79998168889431442"/>
      <name val="Helvetica"/>
      <family val="2"/>
      <scheme val="minor"/>
    </font>
    <font>
      <sz val="14"/>
      <color theme="1"/>
      <name val="Helvetica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8"/>
      <color theme="3"/>
      <name val="Replica"/>
      <family val="2"/>
      <scheme val="major"/>
    </font>
    <font>
      <sz val="16"/>
      <color theme="1"/>
      <name val="Helvetica"/>
      <family val="2"/>
      <scheme val="minor"/>
    </font>
    <font>
      <sz val="18"/>
      <color theme="1"/>
      <name val="Helvetica"/>
      <family val="2"/>
      <scheme val="minor"/>
    </font>
    <font>
      <sz val="11"/>
      <color theme="3" tint="-0.499984740745262"/>
      <name val="Avenir"/>
      <family val="2"/>
    </font>
    <font>
      <sz val="11"/>
      <color rgb="FF000000"/>
      <name val="Calibri Light"/>
      <family val="2"/>
    </font>
    <font>
      <i/>
      <sz val="11"/>
      <color rgb="FF000000"/>
      <name val="Calibri Light"/>
      <family val="2"/>
    </font>
    <font>
      <sz val="11"/>
      <color theme="1"/>
      <name val="Replica-Light"/>
    </font>
    <font>
      <sz val="16"/>
      <color theme="1"/>
      <name val="Replica-Light"/>
    </font>
    <font>
      <sz val="13"/>
      <color theme="1"/>
      <name val="Replica-Light"/>
    </font>
    <font>
      <b/>
      <sz val="11"/>
      <color theme="1"/>
      <name val="Replica-Light"/>
    </font>
    <font>
      <b/>
      <u/>
      <sz val="22"/>
      <color theme="1"/>
      <name val="Replica-Light"/>
    </font>
    <font>
      <b/>
      <u/>
      <sz val="18"/>
      <color theme="1"/>
      <name val="Replica-Light"/>
    </font>
    <font>
      <i/>
      <sz val="11"/>
      <color theme="1"/>
      <name val="Replica-Light"/>
    </font>
    <font>
      <sz val="10"/>
      <color theme="1"/>
      <name val="Replica-Light"/>
    </font>
    <font>
      <sz val="11"/>
      <color rgb="FF000000"/>
      <name val="Helvetica"/>
      <family val="2"/>
      <scheme val="minor"/>
    </font>
    <font>
      <b/>
      <sz val="11"/>
      <color theme="0"/>
      <name val="Helvetica"/>
      <family val="2"/>
      <scheme val="minor"/>
    </font>
    <font>
      <sz val="9"/>
      <color theme="1"/>
      <name val="Replica-Light"/>
    </font>
    <font>
      <b/>
      <u/>
      <sz val="12"/>
      <color theme="1"/>
      <name val="Replica-Light"/>
    </font>
    <font>
      <sz val="11"/>
      <color theme="0" tint="-0.499984740745262"/>
      <name val="Replica-Light"/>
    </font>
    <font>
      <b/>
      <sz val="10"/>
      <color theme="1"/>
      <name val="Replica-Light"/>
    </font>
    <font>
      <sz val="11"/>
      <color theme="7"/>
      <name val="Replica-Light"/>
    </font>
    <font>
      <sz val="8"/>
      <name val="Helvetica"/>
      <family val="2"/>
      <scheme val="minor"/>
    </font>
    <font>
      <sz val="12"/>
      <color rgb="FF006100"/>
      <name val="Helvetica"/>
      <family val="2"/>
      <scheme val="minor"/>
    </font>
    <font>
      <b/>
      <sz val="12"/>
      <color theme="1"/>
      <name val="Helvetica"/>
      <family val="2"/>
      <scheme val="minor"/>
    </font>
    <font>
      <sz val="14"/>
      <color theme="1"/>
      <name val="Replica-Light"/>
    </font>
    <font>
      <u/>
      <sz val="11"/>
      <color theme="1"/>
      <name val="Replica-Light"/>
    </font>
    <font>
      <sz val="12"/>
      <color theme="1"/>
      <name val="Replica-Light"/>
    </font>
    <font>
      <sz val="16"/>
      <color theme="4" tint="0.79998168889431442"/>
      <name val="Helvetica"/>
      <family val="2"/>
      <scheme val="minor"/>
    </font>
    <font>
      <sz val="22"/>
      <color theme="4" tint="0.79998168889431442"/>
      <name val="Helvetica"/>
      <family val="2"/>
      <scheme val="minor"/>
    </font>
    <font>
      <sz val="22"/>
      <color theme="1"/>
      <name val="Helvetica"/>
      <family val="2"/>
      <scheme val="minor"/>
    </font>
    <font>
      <i/>
      <sz val="11"/>
      <color theme="0" tint="-0.499984740745262"/>
      <name val="Helvetica"/>
      <family val="2"/>
      <scheme val="minor"/>
    </font>
    <font>
      <sz val="11"/>
      <color theme="0" tint="-0.499984740745262"/>
      <name val="Helvetica"/>
      <family val="2"/>
      <scheme val="minor"/>
    </font>
    <font>
      <sz val="14"/>
      <color rgb="FF3C3C43"/>
      <name val="Helvetica Neue"/>
      <family val="2"/>
    </font>
    <font>
      <sz val="11"/>
      <color rgb="FF3C3C43"/>
      <name val="Helvetica"/>
      <family val="2"/>
      <scheme val="minor"/>
    </font>
    <font>
      <u/>
      <sz val="28"/>
      <color theme="3" tint="-0.499984740745262"/>
      <name val="Replica-Light"/>
    </font>
    <font>
      <sz val="16"/>
      <color theme="4" tint="0.79998168889431442"/>
      <name val="Replica-Light"/>
    </font>
    <font>
      <sz val="14"/>
      <color theme="4" tint="0.79998168889431442"/>
      <name val="Replica-Light"/>
    </font>
    <font>
      <sz val="20"/>
      <color theme="4" tint="0.79998168889431442"/>
      <name val="Replica-Light"/>
    </font>
    <font>
      <i/>
      <sz val="13"/>
      <color theme="0" tint="-0.499984740745262"/>
      <name val="Replica-Light"/>
    </font>
    <font>
      <sz val="20"/>
      <color theme="1"/>
      <name val="Helvetica"/>
      <family val="2"/>
      <scheme val="minor"/>
    </font>
    <font>
      <sz val="22"/>
      <color theme="1"/>
      <name val="Replica-Light"/>
    </font>
    <font>
      <sz val="10"/>
      <name val="Replica-Light"/>
    </font>
    <font>
      <sz val="11"/>
      <name val="Replica-Light"/>
    </font>
    <font>
      <b/>
      <u/>
      <sz val="12"/>
      <name val="Replica-Light"/>
    </font>
    <font>
      <b/>
      <sz val="10"/>
      <name val="Replica-Light"/>
    </font>
    <font>
      <b/>
      <sz val="11"/>
      <name val="Replica-Light"/>
    </font>
    <font>
      <b/>
      <i/>
      <sz val="11"/>
      <name val="Replica-Light"/>
    </font>
    <font>
      <sz val="11"/>
      <color theme="0" tint="-0.249977111117893"/>
      <name val="Replica-Light"/>
    </font>
    <font>
      <sz val="11"/>
      <color theme="1" tint="0.34998626667073579"/>
      <name val="Replica-Light"/>
    </font>
    <font>
      <sz val="11"/>
      <color rgb="FFFF0000"/>
      <name val="Replica-Light"/>
    </font>
    <font>
      <sz val="9"/>
      <color theme="1" tint="0.34998626667073579"/>
      <name val="Replica-Light"/>
    </font>
    <font>
      <sz val="12"/>
      <color theme="4" tint="0.79998168889431442"/>
      <name val="Replica-Light"/>
    </font>
    <font>
      <i/>
      <sz val="11"/>
      <color theme="1" tint="0.499984740745262"/>
      <name val="Replica-Light"/>
    </font>
    <font>
      <sz val="22"/>
      <color theme="4" tint="0.79998168889431442"/>
      <name val="Replica-Light"/>
    </font>
    <font>
      <i/>
      <sz val="11"/>
      <color theme="0" tint="-0.499984740745262"/>
      <name val="Replica-Light"/>
    </font>
    <font>
      <b/>
      <i/>
      <sz val="12"/>
      <color theme="1"/>
      <name val="Replica-Light"/>
    </font>
    <font>
      <i/>
      <sz val="10"/>
      <color theme="0" tint="-0.499984740745262"/>
      <name val="Replica-Light"/>
    </font>
    <font>
      <b/>
      <sz val="12"/>
      <color theme="1"/>
      <name val="Replica-Light"/>
    </font>
    <font>
      <i/>
      <sz val="11"/>
      <name val="Replica-Light"/>
    </font>
    <font>
      <i/>
      <sz val="11"/>
      <color theme="1" tint="0.34998626667073579"/>
      <name val="Replica-Light"/>
    </font>
    <font>
      <sz val="13"/>
      <color theme="2" tint="-0.499984740745262"/>
      <name val="Replica-Light"/>
    </font>
    <font>
      <b/>
      <sz val="11"/>
      <color theme="8" tint="-0.499984740745262"/>
      <name val="Replica-Light"/>
    </font>
    <font>
      <sz val="11"/>
      <color theme="1" tint="0.499984740745262"/>
      <name val="Replica-Light"/>
    </font>
    <font>
      <b/>
      <sz val="11"/>
      <color theme="1" tint="0.499984740745262"/>
      <name val="Replica-Light"/>
    </font>
    <font>
      <vertAlign val="superscript"/>
      <sz val="11"/>
      <color theme="0" tint="-0.499984740745262"/>
      <name val="Replica-Light"/>
    </font>
    <font>
      <vertAlign val="subscript"/>
      <sz val="11"/>
      <color theme="0" tint="-0.499984740745262"/>
      <name val="Replica-Light"/>
    </font>
    <font>
      <vertAlign val="superscript"/>
      <sz val="11"/>
      <color theme="1"/>
      <name val="Replica-Light"/>
    </font>
    <font>
      <sz val="10"/>
      <color theme="1"/>
      <name val="Replica"/>
    </font>
    <font>
      <sz val="10"/>
      <color rgb="FF000000"/>
      <name val="Replica"/>
    </font>
    <font>
      <sz val="11"/>
      <color rgb="FFFF0000"/>
      <name val="Helvetica"/>
      <family val="2"/>
      <scheme val="minor"/>
    </font>
    <font>
      <sz val="12"/>
      <color rgb="FF000000"/>
      <name val="Replica-Light"/>
    </font>
    <font>
      <sz val="10"/>
      <color rgb="FF000000"/>
      <name val="Replica-Light"/>
    </font>
    <font>
      <i/>
      <sz val="13"/>
      <color rgb="FF808080"/>
      <name val="Replica-Light"/>
    </font>
    <font>
      <b/>
      <sz val="14"/>
      <color theme="1"/>
      <name val="Replica-Light"/>
    </font>
    <font>
      <b/>
      <sz val="11"/>
      <color theme="0" tint="-0.499984740745262"/>
      <name val="Helvetica"/>
      <family val="2"/>
      <scheme val="minor"/>
    </font>
    <font>
      <vertAlign val="subscript"/>
      <sz val="11"/>
      <color theme="1"/>
      <name val="Replica-Light"/>
    </font>
    <font>
      <vertAlign val="subscript"/>
      <sz val="10"/>
      <color theme="1"/>
      <name val="Replica-Light"/>
    </font>
    <font>
      <sz val="11"/>
      <color theme="4" tint="0.79998168889431442"/>
      <name val="Replica-Light"/>
    </font>
    <font>
      <i/>
      <sz val="9"/>
      <color theme="1"/>
      <name val="Replica-Light"/>
    </font>
    <font>
      <i/>
      <vertAlign val="superscript"/>
      <sz val="9"/>
      <color theme="1"/>
      <name val="Replica-Light"/>
    </font>
    <font>
      <i/>
      <sz val="9"/>
      <color theme="1"/>
      <name val="Helvetica"/>
      <family val="2"/>
      <scheme val="minor"/>
    </font>
    <font>
      <vertAlign val="subscript"/>
      <sz val="11"/>
      <color theme="1" tint="0.499984740745262"/>
      <name val="Replica-Light"/>
    </font>
    <font>
      <vertAlign val="superscript"/>
      <sz val="11"/>
      <color theme="1" tint="0.499984740745262"/>
      <name val="Replica-Light"/>
    </font>
    <font>
      <b/>
      <vertAlign val="subscript"/>
      <sz val="11"/>
      <color theme="1" tint="0.499984740745262"/>
      <name val="Replica-Light"/>
    </font>
    <font>
      <b/>
      <vertAlign val="superscript"/>
      <sz val="11"/>
      <color theme="1" tint="0.499984740745262"/>
      <name val="Replica-Light"/>
    </font>
    <font>
      <b/>
      <vertAlign val="subscript"/>
      <sz val="11"/>
      <name val="Replica-Light"/>
    </font>
    <font>
      <b/>
      <vertAlign val="superscript"/>
      <sz val="11"/>
      <name val="Replica-Light"/>
    </font>
    <font>
      <vertAlign val="subscript"/>
      <sz val="9"/>
      <color theme="1"/>
      <name val="Replica-Light"/>
    </font>
    <font>
      <vertAlign val="superscript"/>
      <sz val="11"/>
      <name val="Replica-Light"/>
    </font>
    <font>
      <vertAlign val="superscript"/>
      <sz val="11"/>
      <color theme="1"/>
      <name val="Helvetica"/>
      <family val="2"/>
      <scheme val="minor"/>
    </font>
    <font>
      <vertAlign val="superscript"/>
      <sz val="18"/>
      <color theme="1"/>
      <name val="Helvetica"/>
      <family val="2"/>
      <scheme val="minor"/>
    </font>
    <font>
      <vertAlign val="subscript"/>
      <sz val="11"/>
      <color theme="1"/>
      <name val="Helvetica"/>
      <family val="2"/>
      <scheme val="minor"/>
    </font>
    <font>
      <b/>
      <vertAlign val="subscript"/>
      <sz val="11"/>
      <color theme="1"/>
      <name val="Replica-Light"/>
    </font>
    <font>
      <i/>
      <sz val="11"/>
      <color theme="1"/>
      <name val="Helvetica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4" tint="0.79998168889431442"/>
      <name val="Replica-Light"/>
    </font>
    <font>
      <vertAlign val="subscript"/>
      <sz val="18"/>
      <color theme="4" tint="0.79995117038483843"/>
      <name val="Replica-Light"/>
    </font>
    <font>
      <b/>
      <sz val="22"/>
      <color theme="1"/>
      <name val="Replica"/>
      <scheme val="major"/>
    </font>
    <font>
      <u/>
      <sz val="28"/>
      <color theme="1"/>
      <name val="Replica"/>
      <scheme val="major"/>
    </font>
    <font>
      <b/>
      <sz val="11"/>
      <color theme="1"/>
      <name val="Replica"/>
      <scheme val="major"/>
    </font>
    <font>
      <sz val="10"/>
      <color theme="1"/>
      <name val="Replica"/>
      <scheme val="major"/>
    </font>
    <font>
      <i/>
      <sz val="9"/>
      <color theme="1" tint="0.499984740745262"/>
      <name val="Replica-Light"/>
    </font>
    <font>
      <i/>
      <sz val="9"/>
      <color rgb="FF808080"/>
      <name val="Replica-Light"/>
    </font>
    <font>
      <sz val="9"/>
      <color theme="2" tint="-0.499984740745262"/>
      <name val="Helvetica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A5C3E1"/>
        <bgColor rgb="FF000000"/>
      </patternFill>
    </fill>
    <fill>
      <patternFill patternType="solid">
        <fgColor rgb="FFFFF0C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BE7F2"/>
        <bgColor rgb="FF000000"/>
      </patternFill>
    </fill>
  </fills>
  <borders count="8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rgb="FF00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" fontId="14" fillId="0" borderId="0">
      <alignment horizontal="left" vertical="center"/>
    </xf>
    <xf numFmtId="0" fontId="15" fillId="0" borderId="0"/>
    <xf numFmtId="0" fontId="15" fillId="5" borderId="0"/>
    <xf numFmtId="0" fontId="16" fillId="0" borderId="0"/>
    <xf numFmtId="0" fontId="33" fillId="9" borderId="0" applyNumberFormat="0" applyBorder="0" applyAlignment="0" applyProtection="0"/>
    <xf numFmtId="0" fontId="1" fillId="0" borderId="0"/>
  </cellStyleXfs>
  <cellXfs count="869">
    <xf numFmtId="0" fontId="0" fillId="0" borderId="0" xfId="0"/>
    <xf numFmtId="0" fontId="0" fillId="6" borderId="0" xfId="0" applyFill="1"/>
    <xf numFmtId="0" fontId="8" fillId="6" borderId="0" xfId="0" applyFont="1" applyFill="1"/>
    <xf numFmtId="0" fontId="0" fillId="6" borderId="1" xfId="0" applyFill="1" applyBorder="1"/>
    <xf numFmtId="0" fontId="0" fillId="6" borderId="3" xfId="0" applyFill="1" applyBorder="1"/>
    <xf numFmtId="0" fontId="3" fillId="6" borderId="0" xfId="0" applyFont="1" applyFill="1"/>
    <xf numFmtId="0" fontId="5" fillId="6" borderId="0" xfId="0" applyFont="1" applyFill="1"/>
    <xf numFmtId="0" fontId="13" fillId="6" borderId="0" xfId="0" applyFont="1" applyFill="1"/>
    <xf numFmtId="0" fontId="17" fillId="6" borderId="0" xfId="0" applyFont="1" applyFill="1"/>
    <xf numFmtId="0" fontId="19" fillId="6" borderId="0" xfId="0" applyFont="1" applyFill="1" applyAlignment="1">
      <alignment horizontal="left" vertical="center" wrapText="1"/>
    </xf>
    <xf numFmtId="0" fontId="21" fillId="6" borderId="0" xfId="0" applyFont="1" applyFill="1"/>
    <xf numFmtId="1" fontId="17" fillId="6" borderId="0" xfId="4" applyFont="1" applyFill="1">
      <alignment horizontal="left" vertical="center"/>
    </xf>
    <xf numFmtId="1" fontId="22" fillId="6" borderId="0" xfId="3" applyNumberFormat="1" applyFont="1" applyFill="1" applyBorder="1" applyAlignment="1" applyProtection="1">
      <alignment horizontal="left" vertical="center"/>
    </xf>
    <xf numFmtId="0" fontId="17" fillId="6" borderId="0" xfId="0" applyFont="1" applyFill="1" applyAlignment="1">
      <alignment horizontal="right"/>
    </xf>
    <xf numFmtId="0" fontId="0" fillId="7" borderId="7" xfId="0" applyFill="1" applyBorder="1"/>
    <xf numFmtId="0" fontId="25" fillId="7" borderId="5" xfId="0" applyFont="1" applyFill="1" applyBorder="1"/>
    <xf numFmtId="0" fontId="25" fillId="7" borderId="6" xfId="0" applyFont="1" applyFill="1" applyBorder="1"/>
    <xf numFmtId="0" fontId="27" fillId="6" borderId="0" xfId="0" applyFont="1" applyFill="1"/>
    <xf numFmtId="0" fontId="24" fillId="8" borderId="14" xfId="6" applyFont="1" applyFill="1" applyBorder="1"/>
    <xf numFmtId="0" fontId="17" fillId="7" borderId="14" xfId="0" applyFont="1" applyFill="1" applyBorder="1"/>
    <xf numFmtId="0" fontId="17" fillId="6" borderId="0" xfId="0" applyFont="1" applyFill="1" applyAlignment="1">
      <alignment horizontal="left"/>
    </xf>
    <xf numFmtId="0" fontId="26" fillId="0" borderId="10" xfId="0" applyFont="1" applyBorder="1" applyAlignment="1">
      <alignment horizontal="center"/>
    </xf>
    <xf numFmtId="0" fontId="26" fillId="0" borderId="6" xfId="0" applyFont="1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1" xfId="0" applyBorder="1"/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2" xfId="0" applyBorder="1"/>
    <xf numFmtId="0" fontId="0" fillId="0" borderId="10" xfId="0" applyBorder="1" applyAlignment="1">
      <alignment horizontal="center"/>
    </xf>
    <xf numFmtId="0" fontId="0" fillId="0" borderId="6" xfId="0" applyBorder="1"/>
    <xf numFmtId="0" fontId="3" fillId="8" borderId="14" xfId="0" applyFont="1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7" borderId="1" xfId="0" applyFill="1" applyBorder="1"/>
    <xf numFmtId="0" fontId="0" fillId="7" borderId="0" xfId="0" applyFill="1"/>
    <xf numFmtId="0" fontId="0" fillId="7" borderId="3" xfId="0" applyFill="1" applyBorder="1"/>
    <xf numFmtId="0" fontId="0" fillId="7" borderId="4" xfId="0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5" xfId="0" applyFill="1" applyBorder="1"/>
    <xf numFmtId="0" fontId="0" fillId="7" borderId="6" xfId="0" applyFill="1" applyBorder="1"/>
    <xf numFmtId="0" fontId="17" fillId="6" borderId="14" xfId="0" applyFont="1" applyFill="1" applyBorder="1" applyAlignment="1">
      <alignment horizontal="center"/>
    </xf>
    <xf numFmtId="1" fontId="28" fillId="6" borderId="0" xfId="3" applyNumberFormat="1" applyFont="1" applyFill="1" applyBorder="1" applyAlignment="1" applyProtection="1">
      <alignment horizontal="left" vertical="center"/>
    </xf>
    <xf numFmtId="168" fontId="17" fillId="6" borderId="14" xfId="0" applyNumberFormat="1" applyFont="1" applyFill="1" applyBorder="1" applyAlignment="1">
      <alignment horizontal="center"/>
    </xf>
    <xf numFmtId="0" fontId="24" fillId="8" borderId="14" xfId="6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29" fillId="6" borderId="14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7" fillId="6" borderId="7" xfId="0" applyFont="1" applyFill="1" applyBorder="1" applyAlignment="1">
      <alignment horizontal="center"/>
    </xf>
    <xf numFmtId="2" fontId="17" fillId="6" borderId="14" xfId="0" applyNumberFormat="1" applyFont="1" applyFill="1" applyBorder="1" applyAlignment="1">
      <alignment horizontal="center"/>
    </xf>
    <xf numFmtId="9" fontId="17" fillId="6" borderId="14" xfId="0" applyNumberFormat="1" applyFont="1" applyFill="1" applyBorder="1" applyAlignment="1">
      <alignment horizontal="center"/>
    </xf>
    <xf numFmtId="0" fontId="17" fillId="6" borderId="13" xfId="0" applyFont="1" applyFill="1" applyBorder="1" applyAlignment="1">
      <alignment horizontal="center"/>
    </xf>
    <xf numFmtId="0" fontId="24" fillId="8" borderId="6" xfId="6" applyFont="1" applyFill="1" applyBorder="1"/>
    <xf numFmtId="0" fontId="0" fillId="6" borderId="19" xfId="0" applyFill="1" applyBorder="1"/>
    <xf numFmtId="0" fontId="0" fillId="6" borderId="22" xfId="0" applyFill="1" applyBorder="1"/>
    <xf numFmtId="168" fontId="17" fillId="6" borderId="11" xfId="0" applyNumberFormat="1" applyFont="1" applyFill="1" applyBorder="1" applyAlignment="1">
      <alignment horizontal="center"/>
    </xf>
    <xf numFmtId="0" fontId="17" fillId="6" borderId="29" xfId="0" applyFont="1" applyFill="1" applyBorder="1"/>
    <xf numFmtId="0" fontId="17" fillId="6" borderId="30" xfId="0" applyFont="1" applyFill="1" applyBorder="1"/>
    <xf numFmtId="1" fontId="22" fillId="6" borderId="18" xfId="3" applyNumberFormat="1" applyFont="1" applyFill="1" applyBorder="1" applyAlignment="1" applyProtection="1">
      <alignment horizontal="left" vertical="center"/>
    </xf>
    <xf numFmtId="0" fontId="3" fillId="8" borderId="15" xfId="0" applyFont="1" applyFill="1" applyBorder="1"/>
    <xf numFmtId="0" fontId="0" fillId="8" borderId="1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1" fontId="0" fillId="6" borderId="29" xfId="0" applyNumberFormat="1" applyFill="1" applyBorder="1"/>
    <xf numFmtId="1" fontId="0" fillId="6" borderId="30" xfId="0" applyNumberFormat="1" applyFill="1" applyBorder="1"/>
    <xf numFmtId="1" fontId="0" fillId="6" borderId="21" xfId="0" applyNumberFormat="1" applyFill="1" applyBorder="1"/>
    <xf numFmtId="0" fontId="0" fillId="6" borderId="29" xfId="0" applyFill="1" applyBorder="1"/>
    <xf numFmtId="1" fontId="0" fillId="6" borderId="29" xfId="0" applyNumberForma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1" fontId="0" fillId="6" borderId="21" xfId="0" applyNumberFormat="1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1" fontId="0" fillId="6" borderId="30" xfId="0" applyNumberFormat="1" applyFill="1" applyBorder="1" applyAlignment="1">
      <alignment horizontal="center"/>
    </xf>
    <xf numFmtId="1" fontId="0" fillId="6" borderId="23" xfId="0" applyNumberFormat="1" applyFill="1" applyBorder="1" applyAlignment="1">
      <alignment horizontal="center"/>
    </xf>
    <xf numFmtId="164" fontId="0" fillId="6" borderId="0" xfId="0" applyNumberFormat="1" applyFill="1"/>
    <xf numFmtId="3" fontId="0" fillId="6" borderId="0" xfId="2" applyNumberFormat="1" applyFont="1" applyFill="1" applyAlignment="1"/>
    <xf numFmtId="3" fontId="0" fillId="6" borderId="0" xfId="0" applyNumberFormat="1" applyFill="1" applyAlignment="1">
      <alignment horizontal="center"/>
    </xf>
    <xf numFmtId="3" fontId="0" fillId="6" borderId="0" xfId="2" applyNumberFormat="1" applyFont="1" applyFill="1" applyBorder="1"/>
    <xf numFmtId="3" fontId="1" fillId="10" borderId="0" xfId="0" applyNumberFormat="1" applyFont="1" applyFill="1" applyAlignment="1">
      <alignment horizontal="center"/>
    </xf>
    <xf numFmtId="3" fontId="0" fillId="10" borderId="0" xfId="2" applyNumberFormat="1" applyFont="1" applyFill="1" applyAlignment="1"/>
    <xf numFmtId="0" fontId="38" fillId="4" borderId="15" xfId="0" applyFont="1" applyFill="1" applyBorder="1" applyAlignment="1">
      <alignment horizontal="center" vertical="center"/>
    </xf>
    <xf numFmtId="0" fontId="40" fillId="4" borderId="31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vertical="center"/>
    </xf>
    <xf numFmtId="0" fontId="7" fillId="6" borderId="0" xfId="0" applyFont="1" applyFill="1"/>
    <xf numFmtId="0" fontId="0" fillId="6" borderId="0" xfId="0" applyFill="1" applyProtection="1">
      <protection locked="0"/>
    </xf>
    <xf numFmtId="49" fontId="0" fillId="6" borderId="0" xfId="0" applyNumberFormat="1" applyFill="1" applyProtection="1">
      <protection locked="0"/>
    </xf>
    <xf numFmtId="9" fontId="0" fillId="6" borderId="0" xfId="1" applyFont="1" applyFill="1" applyBorder="1" applyProtection="1">
      <protection locked="0"/>
    </xf>
    <xf numFmtId="49" fontId="0" fillId="6" borderId="0" xfId="0" applyNumberFormat="1" applyFill="1"/>
    <xf numFmtId="3" fontId="42" fillId="7" borderId="29" xfId="2" applyNumberFormat="1" applyFont="1" applyFill="1" applyBorder="1"/>
    <xf numFmtId="3" fontId="42" fillId="7" borderId="30" xfId="2" applyNumberFormat="1" applyFont="1" applyFill="1" applyBorder="1"/>
    <xf numFmtId="166" fontId="41" fillId="7" borderId="29" xfId="2" applyNumberFormat="1" applyFont="1" applyFill="1" applyBorder="1" applyAlignment="1" applyProtection="1"/>
    <xf numFmtId="166" fontId="41" fillId="7" borderId="30" xfId="2" applyNumberFormat="1" applyFont="1" applyFill="1" applyBorder="1" applyAlignment="1" applyProtection="1"/>
    <xf numFmtId="0" fontId="12" fillId="6" borderId="0" xfId="0" applyFont="1" applyFill="1"/>
    <xf numFmtId="0" fontId="0" fillId="8" borderId="17" xfId="0" applyFill="1" applyBorder="1" applyAlignment="1">
      <alignment horizontal="center"/>
    </xf>
    <xf numFmtId="0" fontId="3" fillId="8" borderId="33" xfId="0" applyFont="1" applyFill="1" applyBorder="1" applyAlignment="1">
      <alignment horizontal="center"/>
    </xf>
    <xf numFmtId="9" fontId="7" fillId="4" borderId="16" xfId="1" applyFont="1" applyFill="1" applyBorder="1" applyAlignment="1" applyProtection="1">
      <alignment horizontal="center"/>
    </xf>
    <xf numFmtId="0" fontId="0" fillId="7" borderId="28" xfId="0" applyFill="1" applyBorder="1"/>
    <xf numFmtId="0" fontId="0" fillId="7" borderId="17" xfId="0" applyFill="1" applyBorder="1"/>
    <xf numFmtId="0" fontId="0" fillId="4" borderId="17" xfId="0" applyFill="1" applyBorder="1"/>
    <xf numFmtId="0" fontId="0" fillId="7" borderId="28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1" fontId="45" fillId="6" borderId="0" xfId="3" applyNumberFormat="1" applyFont="1" applyFill="1" applyBorder="1" applyAlignment="1">
      <alignment horizontal="left" vertical="center"/>
    </xf>
    <xf numFmtId="0" fontId="17" fillId="8" borderId="15" xfId="0" applyFont="1" applyFill="1" applyBorder="1" applyAlignment="1">
      <alignment horizontal="center"/>
    </xf>
    <xf numFmtId="0" fontId="49" fillId="3" borderId="31" xfId="0" applyFont="1" applyFill="1" applyBorder="1" applyAlignment="1">
      <alignment horizontal="center" vertical="center"/>
    </xf>
    <xf numFmtId="0" fontId="49" fillId="3" borderId="32" xfId="0" applyFont="1" applyFill="1" applyBorder="1" applyAlignment="1">
      <alignment horizontal="center" vertical="center"/>
    </xf>
    <xf numFmtId="49" fontId="49" fillId="3" borderId="32" xfId="0" applyNumberFormat="1" applyFont="1" applyFill="1" applyBorder="1" applyAlignment="1">
      <alignment horizontal="center" vertical="center"/>
    </xf>
    <xf numFmtId="49" fontId="49" fillId="3" borderId="27" xfId="0" applyNumberFormat="1" applyFont="1" applyFill="1" applyBorder="1" applyAlignment="1">
      <alignment horizontal="center" vertical="center"/>
    </xf>
    <xf numFmtId="0" fontId="49" fillId="3" borderId="27" xfId="0" applyFont="1" applyFill="1" applyBorder="1" applyAlignment="1">
      <alignment horizontal="center" vertical="center"/>
    </xf>
    <xf numFmtId="0" fontId="49" fillId="7" borderId="32" xfId="0" applyFont="1" applyFill="1" applyBorder="1" applyAlignment="1">
      <alignment horizontal="center" vertical="center"/>
    </xf>
    <xf numFmtId="0" fontId="20" fillId="7" borderId="31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32" xfId="0" applyFont="1" applyFill="1" applyBorder="1" applyAlignment="1">
      <alignment horizontal="center" vertical="center" wrapText="1"/>
    </xf>
    <xf numFmtId="9" fontId="20" fillId="7" borderId="27" xfId="1" applyFont="1" applyFill="1" applyBorder="1" applyAlignment="1" applyProtection="1">
      <alignment horizontal="center" vertical="center" wrapText="1"/>
    </xf>
    <xf numFmtId="9" fontId="20" fillId="7" borderId="31" xfId="1" applyFont="1" applyFill="1" applyBorder="1" applyAlignment="1" applyProtection="1">
      <alignment horizontal="center" vertical="center" wrapText="1"/>
    </xf>
    <xf numFmtId="9" fontId="20" fillId="7" borderId="32" xfId="1" applyFont="1" applyFill="1" applyBorder="1" applyAlignment="1" applyProtection="1">
      <alignment horizontal="center" vertical="center" wrapText="1"/>
    </xf>
    <xf numFmtId="49" fontId="17" fillId="2" borderId="30" xfId="0" applyNumberFormat="1" applyFont="1" applyFill="1" applyBorder="1" applyProtection="1">
      <protection locked="0"/>
    </xf>
    <xf numFmtId="166" fontId="17" fillId="2" borderId="29" xfId="2" applyNumberFormat="1" applyFont="1" applyFill="1" applyBorder="1" applyProtection="1">
      <protection locked="0"/>
    </xf>
    <xf numFmtId="166" fontId="17" fillId="2" borderId="30" xfId="2" applyNumberFormat="1" applyFont="1" applyFill="1" applyBorder="1" applyProtection="1">
      <protection locked="0"/>
    </xf>
    <xf numFmtId="166" fontId="29" fillId="7" borderId="0" xfId="2" applyNumberFormat="1" applyFont="1" applyFill="1" applyBorder="1" applyProtection="1"/>
    <xf numFmtId="9" fontId="17" fillId="2" borderId="30" xfId="1" applyFont="1" applyFill="1" applyBorder="1" applyAlignment="1" applyProtection="1">
      <alignment horizontal="center"/>
      <protection locked="0"/>
    </xf>
    <xf numFmtId="9" fontId="17" fillId="2" borderId="29" xfId="1" applyFont="1" applyFill="1" applyBorder="1" applyAlignment="1" applyProtection="1">
      <alignment horizontal="center"/>
      <protection locked="0"/>
    </xf>
    <xf numFmtId="9" fontId="17" fillId="2" borderId="0" xfId="1" applyFont="1" applyFill="1" applyBorder="1" applyAlignment="1" applyProtection="1">
      <alignment horizontal="center"/>
      <protection locked="0"/>
    </xf>
    <xf numFmtId="0" fontId="17" fillId="2" borderId="30" xfId="0" applyFont="1" applyFill="1" applyBorder="1" applyAlignment="1" applyProtection="1">
      <alignment horizontal="center"/>
      <protection locked="0"/>
    </xf>
    <xf numFmtId="0" fontId="23" fillId="6" borderId="0" xfId="0" applyFont="1" applyFill="1"/>
    <xf numFmtId="0" fontId="17" fillId="8" borderId="19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2" fontId="17" fillId="6" borderId="29" xfId="0" applyNumberFormat="1" applyFont="1" applyFill="1" applyBorder="1"/>
    <xf numFmtId="0" fontId="17" fillId="8" borderId="32" xfId="0" applyFont="1" applyFill="1" applyBorder="1" applyAlignment="1">
      <alignment horizontal="center"/>
    </xf>
    <xf numFmtId="0" fontId="20" fillId="8" borderId="18" xfId="0" applyFont="1" applyFill="1" applyBorder="1" applyAlignment="1">
      <alignment horizontal="center"/>
    </xf>
    <xf numFmtId="0" fontId="20" fillId="8" borderId="19" xfId="0" applyFont="1" applyFill="1" applyBorder="1" applyAlignment="1">
      <alignment horizontal="center"/>
    </xf>
    <xf numFmtId="0" fontId="17" fillId="8" borderId="31" xfId="0" applyFont="1" applyFill="1" applyBorder="1" applyAlignment="1">
      <alignment horizontal="center"/>
    </xf>
    <xf numFmtId="168" fontId="17" fillId="7" borderId="0" xfId="0" applyNumberFormat="1" applyFont="1" applyFill="1"/>
    <xf numFmtId="168" fontId="17" fillId="7" borderId="28" xfId="0" applyNumberFormat="1" applyFont="1" applyFill="1" applyBorder="1"/>
    <xf numFmtId="0" fontId="17" fillId="8" borderId="16" xfId="0" applyFont="1" applyFill="1" applyBorder="1"/>
    <xf numFmtId="0" fontId="17" fillId="8" borderId="15" xfId="0" applyFont="1" applyFill="1" applyBorder="1"/>
    <xf numFmtId="0" fontId="17" fillId="8" borderId="17" xfId="0" applyFont="1" applyFill="1" applyBorder="1"/>
    <xf numFmtId="165" fontId="2" fillId="2" borderId="0" xfId="1" applyNumberFormat="1" applyFont="1" applyFill="1" applyBorder="1" applyAlignment="1" applyProtection="1">
      <alignment horizontal="center"/>
      <protection locked="0"/>
    </xf>
    <xf numFmtId="165" fontId="2" fillId="2" borderId="30" xfId="1" applyNumberFormat="1" applyFont="1" applyFill="1" applyBorder="1" applyAlignment="1" applyProtection="1">
      <alignment horizontal="center"/>
      <protection locked="0"/>
    </xf>
    <xf numFmtId="165" fontId="2" fillId="2" borderId="22" xfId="1" applyNumberFormat="1" applyFont="1" applyFill="1" applyBorder="1" applyAlignment="1" applyProtection="1">
      <alignment horizontal="center"/>
      <protection locked="0"/>
    </xf>
    <xf numFmtId="165" fontId="2" fillId="2" borderId="23" xfId="1" applyNumberFormat="1" applyFont="1" applyFill="1" applyBorder="1" applyAlignment="1" applyProtection="1">
      <alignment horizontal="center"/>
      <protection locked="0"/>
    </xf>
    <xf numFmtId="0" fontId="17" fillId="8" borderId="29" xfId="0" applyFont="1" applyFill="1" applyBorder="1"/>
    <xf numFmtId="0" fontId="17" fillId="8" borderId="21" xfId="0" applyFont="1" applyFill="1" applyBorder="1"/>
    <xf numFmtId="0" fontId="31" fillId="6" borderId="0" xfId="0" applyFont="1" applyFill="1"/>
    <xf numFmtId="165" fontId="17" fillId="7" borderId="14" xfId="0" applyNumberFormat="1" applyFont="1" applyFill="1" applyBorder="1" applyAlignment="1" applyProtection="1">
      <alignment horizontal="center"/>
      <protection locked="0"/>
    </xf>
    <xf numFmtId="0" fontId="17" fillId="8" borderId="28" xfId="0" applyFont="1" applyFill="1" applyBorder="1"/>
    <xf numFmtId="1" fontId="29" fillId="2" borderId="16" xfId="0" applyNumberFormat="1" applyFont="1" applyFill="1" applyBorder="1" applyAlignment="1">
      <alignment horizontal="center"/>
    </xf>
    <xf numFmtId="1" fontId="29" fillId="2" borderId="28" xfId="0" applyNumberFormat="1" applyFont="1" applyFill="1" applyBorder="1" applyAlignment="1">
      <alignment horizontal="center"/>
    </xf>
    <xf numFmtId="1" fontId="29" fillId="2" borderId="17" xfId="0" applyNumberFormat="1" applyFont="1" applyFill="1" applyBorder="1" applyAlignment="1">
      <alignment horizontal="center"/>
    </xf>
    <xf numFmtId="1" fontId="17" fillId="7" borderId="16" xfId="0" applyNumberFormat="1" applyFont="1" applyFill="1" applyBorder="1" applyAlignment="1">
      <alignment horizontal="center"/>
    </xf>
    <xf numFmtId="1" fontId="17" fillId="7" borderId="28" xfId="0" applyNumberFormat="1" applyFont="1" applyFill="1" applyBorder="1" applyAlignment="1">
      <alignment horizontal="center"/>
    </xf>
    <xf numFmtId="1" fontId="17" fillId="7" borderId="17" xfId="0" applyNumberFormat="1" applyFont="1" applyFill="1" applyBorder="1" applyAlignment="1">
      <alignment horizontal="center"/>
    </xf>
    <xf numFmtId="0" fontId="17" fillId="8" borderId="20" xfId="0" applyFont="1" applyFill="1" applyBorder="1"/>
    <xf numFmtId="168" fontId="17" fillId="7" borderId="16" xfId="0" applyNumberFormat="1" applyFont="1" applyFill="1" applyBorder="1"/>
    <xf numFmtId="168" fontId="17" fillId="7" borderId="19" xfId="0" applyNumberFormat="1" applyFont="1" applyFill="1" applyBorder="1"/>
    <xf numFmtId="168" fontId="17" fillId="7" borderId="17" xfId="0" applyNumberFormat="1" applyFont="1" applyFill="1" applyBorder="1"/>
    <xf numFmtId="168" fontId="17" fillId="7" borderId="22" xfId="0" applyNumberFormat="1" applyFont="1" applyFill="1" applyBorder="1"/>
    <xf numFmtId="168" fontId="17" fillId="2" borderId="28" xfId="0" applyNumberFormat="1" applyFont="1" applyFill="1" applyBorder="1"/>
    <xf numFmtId="168" fontId="17" fillId="2" borderId="0" xfId="0" applyNumberFormat="1" applyFont="1" applyFill="1"/>
    <xf numFmtId="0" fontId="17" fillId="6" borderId="19" xfId="0" applyFont="1" applyFill="1" applyBorder="1"/>
    <xf numFmtId="0" fontId="17" fillId="6" borderId="20" xfId="0" applyFont="1" applyFill="1" applyBorder="1"/>
    <xf numFmtId="0" fontId="17" fillId="6" borderId="21" xfId="0" applyFont="1" applyFill="1" applyBorder="1"/>
    <xf numFmtId="0" fontId="17" fillId="6" borderId="22" xfId="0" applyFont="1" applyFill="1" applyBorder="1"/>
    <xf numFmtId="0" fontId="17" fillId="6" borderId="23" xfId="0" applyFont="1" applyFill="1" applyBorder="1"/>
    <xf numFmtId="0" fontId="51" fillId="6" borderId="0" xfId="0" applyFont="1" applyFill="1"/>
    <xf numFmtId="0" fontId="50" fillId="6" borderId="0" xfId="0" applyFont="1" applyFill="1"/>
    <xf numFmtId="0" fontId="17" fillId="2" borderId="29" xfId="0" applyFont="1" applyFill="1" applyBorder="1" applyProtection="1">
      <protection locked="0"/>
    </xf>
    <xf numFmtId="49" fontId="17" fillId="2" borderId="0" xfId="0" applyNumberFormat="1" applyFont="1" applyFill="1" applyProtection="1">
      <protection locked="0"/>
    </xf>
    <xf numFmtId="0" fontId="17" fillId="2" borderId="0" xfId="0" applyFont="1" applyFill="1" applyProtection="1">
      <protection locked="0"/>
    </xf>
    <xf numFmtId="0" fontId="29" fillId="7" borderId="0" xfId="0" applyFont="1" applyFill="1"/>
    <xf numFmtId="0" fontId="17" fillId="2" borderId="0" xfId="0" applyFont="1" applyFill="1" applyAlignment="1" applyProtection="1">
      <alignment horizontal="center"/>
      <protection locked="0"/>
    </xf>
    <xf numFmtId="0" fontId="17" fillId="2" borderId="21" xfId="0" applyFont="1" applyFill="1" applyBorder="1" applyProtection="1">
      <protection locked="0"/>
    </xf>
    <xf numFmtId="49" fontId="17" fillId="2" borderId="22" xfId="0" applyNumberFormat="1" applyFont="1" applyFill="1" applyBorder="1" applyProtection="1">
      <protection locked="0"/>
    </xf>
    <xf numFmtId="49" fontId="17" fillId="2" borderId="23" xfId="0" applyNumberFormat="1" applyFont="1" applyFill="1" applyBorder="1" applyProtection="1">
      <protection locked="0"/>
    </xf>
    <xf numFmtId="0" fontId="17" fillId="2" borderId="22" xfId="0" applyFont="1" applyFill="1" applyBorder="1" applyProtection="1">
      <protection locked="0"/>
    </xf>
    <xf numFmtId="0" fontId="29" fillId="7" borderId="22" xfId="0" applyFont="1" applyFill="1" applyBorder="1"/>
    <xf numFmtId="9" fontId="17" fillId="2" borderId="23" xfId="1" applyFont="1" applyFill="1" applyBorder="1" applyAlignment="1" applyProtection="1">
      <alignment horizontal="center"/>
      <protection locked="0"/>
    </xf>
    <xf numFmtId="9" fontId="17" fillId="2" borderId="22" xfId="1" applyFont="1" applyFill="1" applyBorder="1" applyAlignment="1" applyProtection="1">
      <alignment horizontal="center"/>
      <protection locked="0"/>
    </xf>
    <xf numFmtId="9" fontId="17" fillId="2" borderId="21" xfId="1" applyFont="1" applyFill="1" applyBorder="1" applyAlignment="1" applyProtection="1">
      <alignment horizontal="center"/>
      <protection locked="0"/>
    </xf>
    <xf numFmtId="0" fontId="17" fillId="2" borderId="22" xfId="0" applyFont="1" applyFill="1" applyBorder="1" applyAlignment="1" applyProtection="1">
      <alignment horizontal="center"/>
      <protection locked="0"/>
    </xf>
    <xf numFmtId="0" fontId="40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vertical="center"/>
    </xf>
    <xf numFmtId="3" fontId="0" fillId="6" borderId="0" xfId="2" applyNumberFormat="1" applyFont="1" applyFill="1"/>
    <xf numFmtId="0" fontId="29" fillId="6" borderId="4" xfId="0" applyFont="1" applyFill="1" applyBorder="1" applyAlignment="1">
      <alignment horizontal="center"/>
    </xf>
    <xf numFmtId="0" fontId="29" fillId="6" borderId="15" xfId="0" applyFont="1" applyFill="1" applyBorder="1" applyAlignment="1">
      <alignment horizontal="center"/>
    </xf>
    <xf numFmtId="0" fontId="29" fillId="6" borderId="31" xfId="0" applyFont="1" applyFill="1" applyBorder="1" applyAlignment="1">
      <alignment horizontal="center"/>
    </xf>
    <xf numFmtId="169" fontId="0" fillId="2" borderId="0" xfId="0" applyNumberFormat="1" applyFill="1"/>
    <xf numFmtId="0" fontId="24" fillId="8" borderId="34" xfId="6" applyFont="1" applyFill="1" applyBorder="1"/>
    <xf numFmtId="0" fontId="30" fillId="8" borderId="34" xfId="6" applyFont="1" applyFill="1" applyBorder="1" applyAlignment="1">
      <alignment horizontal="right"/>
    </xf>
    <xf numFmtId="0" fontId="0" fillId="7" borderId="16" xfId="0" applyFill="1" applyBorder="1" applyAlignment="1">
      <alignment horizontal="center"/>
    </xf>
    <xf numFmtId="167" fontId="0" fillId="6" borderId="0" xfId="0" applyNumberFormat="1" applyFill="1" applyAlignment="1">
      <alignment horizontal="center"/>
    </xf>
    <xf numFmtId="0" fontId="0" fillId="7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 wrapText="1"/>
    </xf>
    <xf numFmtId="0" fontId="24" fillId="8" borderId="36" xfId="6" applyFont="1" applyFill="1" applyBorder="1" applyAlignment="1">
      <alignment vertical="center"/>
    </xf>
    <xf numFmtId="0" fontId="24" fillId="8" borderId="37" xfId="6" applyFont="1" applyFill="1" applyBorder="1"/>
    <xf numFmtId="0" fontId="17" fillId="6" borderId="38" xfId="0" applyFont="1" applyFill="1" applyBorder="1" applyAlignment="1">
      <alignment horizontal="center"/>
    </xf>
    <xf numFmtId="0" fontId="17" fillId="6" borderId="41" xfId="0" applyFont="1" applyFill="1" applyBorder="1" applyAlignment="1">
      <alignment horizontal="center"/>
    </xf>
    <xf numFmtId="0" fontId="30" fillId="8" borderId="42" xfId="6" applyFont="1" applyFill="1" applyBorder="1" applyAlignment="1">
      <alignment horizontal="right"/>
    </xf>
    <xf numFmtId="0" fontId="17" fillId="6" borderId="29" xfId="0" applyFont="1" applyFill="1" applyBorder="1" applyAlignment="1">
      <alignment horizontal="left"/>
    </xf>
    <xf numFmtId="0" fontId="24" fillId="7" borderId="15" xfId="7" applyFont="1" applyFill="1" applyBorder="1" applyProtection="1">
      <protection locked="0"/>
    </xf>
    <xf numFmtId="0" fontId="17" fillId="6" borderId="15" xfId="0" applyFont="1" applyFill="1" applyBorder="1"/>
    <xf numFmtId="9" fontId="2" fillId="4" borderId="22" xfId="1" applyFont="1" applyFill="1" applyBorder="1" applyAlignment="1" applyProtection="1">
      <alignment horizontal="center" vertical="center"/>
    </xf>
    <xf numFmtId="0" fontId="0" fillId="4" borderId="23" xfId="0" applyFill="1" applyBorder="1" applyAlignment="1">
      <alignment horizontal="center" vertical="center"/>
    </xf>
    <xf numFmtId="2" fontId="44" fillId="7" borderId="0" xfId="0" applyNumberFormat="1" applyFont="1" applyFill="1"/>
    <xf numFmtId="2" fontId="44" fillId="7" borderId="3" xfId="0" applyNumberFormat="1" applyFont="1" applyFill="1" applyBorder="1"/>
    <xf numFmtId="2" fontId="44" fillId="7" borderId="9" xfId="0" applyNumberFormat="1" applyFont="1" applyFill="1" applyBorder="1"/>
    <xf numFmtId="2" fontId="44" fillId="7" borderId="10" xfId="0" applyNumberFormat="1" applyFont="1" applyFill="1" applyBorder="1"/>
    <xf numFmtId="2" fontId="0" fillId="6" borderId="0" xfId="0" applyNumberFormat="1" applyFill="1"/>
    <xf numFmtId="0" fontId="4" fillId="6" borderId="0" xfId="0" applyFont="1" applyFill="1" applyAlignment="1">
      <alignment horizontal="center" wrapText="1"/>
    </xf>
    <xf numFmtId="1" fontId="0" fillId="6" borderId="0" xfId="0" applyNumberFormat="1" applyFill="1" applyProtection="1">
      <protection locked="0"/>
    </xf>
    <xf numFmtId="2" fontId="44" fillId="7" borderId="47" xfId="0" applyNumberFormat="1" applyFont="1" applyFill="1" applyBorder="1" applyAlignment="1">
      <alignment textRotation="135"/>
    </xf>
    <xf numFmtId="3" fontId="0" fillId="6" borderId="0" xfId="0" applyNumberFormat="1" applyFill="1" applyAlignment="1">
      <alignment horizontal="center" wrapText="1"/>
    </xf>
    <xf numFmtId="1" fontId="0" fillId="6" borderId="0" xfId="0" applyNumberFormat="1" applyFill="1"/>
    <xf numFmtId="2" fontId="44" fillId="7" borderId="2" xfId="0" applyNumberFormat="1" applyFont="1" applyFill="1" applyBorder="1" applyAlignment="1">
      <alignment textRotation="135"/>
    </xf>
    <xf numFmtId="2" fontId="44" fillId="7" borderId="8" xfId="0" applyNumberFormat="1" applyFont="1" applyFill="1" applyBorder="1" applyAlignment="1">
      <alignment textRotation="135"/>
    </xf>
    <xf numFmtId="2" fontId="44" fillId="7" borderId="1" xfId="0" applyNumberFormat="1" applyFont="1" applyFill="1" applyBorder="1"/>
    <xf numFmtId="1" fontId="44" fillId="7" borderId="2" xfId="0" applyNumberFormat="1" applyFont="1" applyFill="1" applyBorder="1" applyAlignment="1">
      <alignment textRotation="135"/>
    </xf>
    <xf numFmtId="1" fontId="44" fillId="7" borderId="1" xfId="0" applyNumberFormat="1" applyFont="1" applyFill="1" applyBorder="1"/>
    <xf numFmtId="0" fontId="0" fillId="7" borderId="54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51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/>
    </xf>
    <xf numFmtId="0" fontId="42" fillId="6" borderId="0" xfId="0" applyFont="1" applyFill="1"/>
    <xf numFmtId="1" fontId="44" fillId="7" borderId="0" xfId="0" applyNumberFormat="1" applyFont="1" applyFill="1"/>
    <xf numFmtId="0" fontId="18" fillId="6" borderId="0" xfId="0" applyFont="1" applyFill="1" applyAlignment="1">
      <alignment horizontal="left" vertical="center" wrapText="1"/>
    </xf>
    <xf numFmtId="0" fontId="52" fillId="8" borderId="37" xfId="6" applyFont="1" applyFill="1" applyBorder="1"/>
    <xf numFmtId="2" fontId="53" fillId="6" borderId="38" xfId="0" applyNumberFormat="1" applyFont="1" applyFill="1" applyBorder="1" applyAlignment="1">
      <alignment horizontal="center"/>
    </xf>
    <xf numFmtId="0" fontId="52" fillId="8" borderId="34" xfId="6" applyFont="1" applyFill="1" applyBorder="1"/>
    <xf numFmtId="2" fontId="53" fillId="6" borderId="6" xfId="0" applyNumberFormat="1" applyFont="1" applyFill="1" applyBorder="1" applyAlignment="1">
      <alignment horizontal="center"/>
    </xf>
    <xf numFmtId="0" fontId="55" fillId="8" borderId="35" xfId="6" applyFont="1" applyFill="1" applyBorder="1" applyAlignment="1">
      <alignment horizontal="right"/>
    </xf>
    <xf numFmtId="168" fontId="53" fillId="6" borderId="34" xfId="0" applyNumberFormat="1" applyFont="1" applyFill="1" applyBorder="1" applyAlignment="1">
      <alignment horizontal="center"/>
    </xf>
    <xf numFmtId="0" fontId="55" fillId="8" borderId="25" xfId="6" applyFont="1" applyFill="1" applyBorder="1" applyAlignment="1">
      <alignment horizontal="right"/>
    </xf>
    <xf numFmtId="168" fontId="53" fillId="6" borderId="2" xfId="0" applyNumberFormat="1" applyFont="1" applyFill="1" applyBorder="1" applyAlignment="1">
      <alignment horizontal="center"/>
    </xf>
    <xf numFmtId="168" fontId="53" fillId="6" borderId="1" xfId="0" applyNumberFormat="1" applyFont="1" applyFill="1" applyBorder="1" applyAlignment="1">
      <alignment horizontal="center"/>
    </xf>
    <xf numFmtId="168" fontId="56" fillId="6" borderId="35" xfId="0" applyNumberFormat="1" applyFont="1" applyFill="1" applyBorder="1" applyAlignment="1">
      <alignment horizontal="center"/>
    </xf>
    <xf numFmtId="2" fontId="56" fillId="6" borderId="40" xfId="0" applyNumberFormat="1" applyFont="1" applyFill="1" applyBorder="1" applyAlignment="1">
      <alignment horizontal="center"/>
    </xf>
    <xf numFmtId="0" fontId="24" fillId="8" borderId="26" xfId="6" applyFont="1" applyFill="1" applyBorder="1"/>
    <xf numFmtId="0" fontId="24" fillId="8" borderId="25" xfId="6" applyFont="1" applyFill="1" applyBorder="1"/>
    <xf numFmtId="0" fontId="24" fillId="8" borderId="25" xfId="6" applyFont="1" applyFill="1" applyBorder="1" applyAlignment="1">
      <alignment wrapText="1"/>
    </xf>
    <xf numFmtId="0" fontId="24" fillId="8" borderId="48" xfId="6" applyFont="1" applyFill="1" applyBorder="1" applyAlignment="1">
      <alignment wrapText="1"/>
    </xf>
    <xf numFmtId="168" fontId="53" fillId="6" borderId="4" xfId="0" applyNumberFormat="1" applyFont="1" applyFill="1" applyBorder="1" applyAlignment="1">
      <alignment horizontal="center"/>
    </xf>
    <xf numFmtId="2" fontId="44" fillId="7" borderId="47" xfId="0" applyNumberFormat="1" applyFont="1" applyFill="1" applyBorder="1"/>
    <xf numFmtId="2" fontId="44" fillId="7" borderId="8" xfId="0" applyNumberFormat="1" applyFont="1" applyFill="1" applyBorder="1"/>
    <xf numFmtId="2" fontId="44" fillId="7" borderId="7" xfId="0" applyNumberFormat="1" applyFont="1" applyFill="1" applyBorder="1" applyAlignment="1">
      <alignment textRotation="135"/>
    </xf>
    <xf numFmtId="1" fontId="44" fillId="7" borderId="7" xfId="0" applyNumberFormat="1" applyFont="1" applyFill="1" applyBorder="1"/>
    <xf numFmtId="1" fontId="44" fillId="7" borderId="5" xfId="0" applyNumberFormat="1" applyFont="1" applyFill="1" applyBorder="1"/>
    <xf numFmtId="1" fontId="44" fillId="7" borderId="6" xfId="0" applyNumberFormat="1" applyFont="1" applyFill="1" applyBorder="1"/>
    <xf numFmtId="3" fontId="17" fillId="6" borderId="11" xfId="0" applyNumberFormat="1" applyFont="1" applyFill="1" applyBorder="1" applyAlignment="1">
      <alignment horizontal="center"/>
    </xf>
    <xf numFmtId="3" fontId="17" fillId="6" borderId="14" xfId="0" applyNumberFormat="1" applyFont="1" applyFill="1" applyBorder="1" applyAlignment="1">
      <alignment horizontal="center"/>
    </xf>
    <xf numFmtId="10" fontId="44" fillId="7" borderId="7" xfId="0" applyNumberFormat="1" applyFont="1" applyFill="1" applyBorder="1"/>
    <xf numFmtId="1" fontId="44" fillId="7" borderId="14" xfId="0" applyNumberFormat="1" applyFont="1" applyFill="1" applyBorder="1"/>
    <xf numFmtId="2" fontId="44" fillId="7" borderId="11" xfId="0" applyNumberFormat="1" applyFont="1" applyFill="1" applyBorder="1" applyAlignment="1">
      <alignment textRotation="135"/>
    </xf>
    <xf numFmtId="2" fontId="44" fillId="7" borderId="13" xfId="0" applyNumberFormat="1" applyFont="1" applyFill="1" applyBorder="1" applyAlignment="1">
      <alignment textRotation="135"/>
    </xf>
    <xf numFmtId="10" fontId="44" fillId="7" borderId="14" xfId="0" applyNumberFormat="1" applyFont="1" applyFill="1" applyBorder="1"/>
    <xf numFmtId="10" fontId="0" fillId="6" borderId="0" xfId="0" applyNumberFormat="1" applyFill="1"/>
    <xf numFmtId="3" fontId="53" fillId="6" borderId="2" xfId="0" applyNumberFormat="1" applyFont="1" applyFill="1" applyBorder="1" applyAlignment="1">
      <alignment horizontal="center"/>
    </xf>
    <xf numFmtId="3" fontId="53" fillId="6" borderId="1" xfId="0" applyNumberFormat="1" applyFont="1" applyFill="1" applyBorder="1" applyAlignment="1">
      <alignment horizontal="center"/>
    </xf>
    <xf numFmtId="0" fontId="17" fillId="8" borderId="16" xfId="0" applyFont="1" applyFill="1" applyBorder="1" applyAlignment="1">
      <alignment horizontal="center"/>
    </xf>
    <xf numFmtId="0" fontId="24" fillId="8" borderId="34" xfId="6" applyFont="1" applyFill="1" applyBorder="1" applyAlignment="1">
      <alignment wrapText="1"/>
    </xf>
    <xf numFmtId="0" fontId="29" fillId="6" borderId="14" xfId="0" applyFont="1" applyFill="1" applyBorder="1" applyAlignment="1">
      <alignment horizontal="center" wrapText="1"/>
    </xf>
    <xf numFmtId="0" fontId="24" fillId="6" borderId="19" xfId="0" applyFont="1" applyFill="1" applyBorder="1" applyAlignment="1">
      <alignment horizontal="right" vertical="center"/>
    </xf>
    <xf numFmtId="1" fontId="22" fillId="6" borderId="29" xfId="3" applyNumberFormat="1" applyFont="1" applyFill="1" applyBorder="1" applyAlignment="1" applyProtection="1">
      <alignment horizontal="left" vertical="center"/>
    </xf>
    <xf numFmtId="0" fontId="24" fillId="8" borderId="29" xfId="6" applyFont="1" applyFill="1" applyBorder="1"/>
    <xf numFmtId="0" fontId="27" fillId="6" borderId="29" xfId="0" applyFont="1" applyFill="1" applyBorder="1"/>
    <xf numFmtId="0" fontId="27" fillId="6" borderId="21" xfId="0" applyFont="1" applyFill="1" applyBorder="1"/>
    <xf numFmtId="0" fontId="6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 wrapText="1"/>
    </xf>
    <xf numFmtId="0" fontId="35" fillId="6" borderId="0" xfId="0" applyFont="1" applyFill="1"/>
    <xf numFmtId="0" fontId="17" fillId="8" borderId="17" xfId="0" applyFont="1" applyFill="1" applyBorder="1" applyAlignment="1">
      <alignment horizontal="center"/>
    </xf>
    <xf numFmtId="0" fontId="58" fillId="6" borderId="13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/>
    </xf>
    <xf numFmtId="0" fontId="59" fillId="6" borderId="0" xfId="0" applyFont="1" applyFill="1"/>
    <xf numFmtId="0" fontId="60" fillId="8" borderId="11" xfId="0" applyFont="1" applyFill="1" applyBorder="1"/>
    <xf numFmtId="0" fontId="60" fillId="8" borderId="12" xfId="0" applyFont="1" applyFill="1" applyBorder="1"/>
    <xf numFmtId="0" fontId="56" fillId="8" borderId="13" xfId="0" applyFont="1" applyFill="1" applyBorder="1" applyAlignment="1">
      <alignment horizontal="right"/>
    </xf>
    <xf numFmtId="3" fontId="56" fillId="8" borderId="14" xfId="0" applyNumberFormat="1" applyFont="1" applyFill="1" applyBorder="1" applyAlignment="1">
      <alignment horizontal="center"/>
    </xf>
    <xf numFmtId="0" fontId="57" fillId="8" borderId="13" xfId="0" applyFont="1" applyFill="1" applyBorder="1" applyAlignment="1">
      <alignment horizontal="right"/>
    </xf>
    <xf numFmtId="3" fontId="57" fillId="8" borderId="14" xfId="0" applyNumberFormat="1" applyFont="1" applyFill="1" applyBorder="1" applyAlignment="1">
      <alignment horizontal="center"/>
    </xf>
    <xf numFmtId="168" fontId="56" fillId="8" borderId="9" xfId="0" applyNumberFormat="1" applyFont="1" applyFill="1" applyBorder="1" applyAlignment="1">
      <alignment horizontal="center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0" fontId="63" fillId="3" borderId="31" xfId="0" applyFont="1" applyFill="1" applyBorder="1" applyAlignment="1">
      <alignment horizontal="center" vertical="center"/>
    </xf>
    <xf numFmtId="49" fontId="63" fillId="3" borderId="32" xfId="0" applyNumberFormat="1" applyFont="1" applyFill="1" applyBorder="1" applyAlignment="1">
      <alignment horizontal="center" vertical="center"/>
    </xf>
    <xf numFmtId="49" fontId="63" fillId="3" borderId="27" xfId="0" applyNumberFormat="1" applyFont="1" applyFill="1" applyBorder="1" applyAlignment="1">
      <alignment horizontal="center" vertical="center"/>
    </xf>
    <xf numFmtId="0" fontId="63" fillId="3" borderId="32" xfId="0" applyFont="1" applyFill="1" applyBorder="1" applyAlignment="1">
      <alignment horizontal="center" vertical="center"/>
    </xf>
    <xf numFmtId="0" fontId="63" fillId="3" borderId="27" xfId="0" applyFont="1" applyFill="1" applyBorder="1" applyAlignment="1">
      <alignment horizontal="center" vertical="center"/>
    </xf>
    <xf numFmtId="0" fontId="63" fillId="3" borderId="19" xfId="0" applyFont="1" applyFill="1" applyBorder="1" applyAlignment="1">
      <alignment horizontal="center" vertical="center"/>
    </xf>
    <xf numFmtId="49" fontId="20" fillId="7" borderId="32" xfId="0" applyNumberFormat="1" applyFont="1" applyFill="1" applyBorder="1" applyAlignment="1">
      <alignment horizontal="center" vertical="center" wrapText="1"/>
    </xf>
    <xf numFmtId="49" fontId="20" fillId="7" borderId="27" xfId="0" applyNumberFormat="1" applyFont="1" applyFill="1" applyBorder="1" applyAlignment="1">
      <alignment horizontal="center" vertical="center" wrapText="1"/>
    </xf>
    <xf numFmtId="9" fontId="56" fillId="7" borderId="31" xfId="1" applyFont="1" applyFill="1" applyBorder="1" applyAlignment="1" applyProtection="1">
      <alignment horizontal="center" vertical="center" wrapText="1"/>
    </xf>
    <xf numFmtId="9" fontId="56" fillId="7" borderId="32" xfId="1" applyFont="1" applyFill="1" applyBorder="1" applyAlignment="1" applyProtection="1">
      <alignment horizontal="center" vertical="center" wrapText="1"/>
    </xf>
    <xf numFmtId="1" fontId="20" fillId="7" borderId="48" xfId="0" applyNumberFormat="1" applyFont="1" applyFill="1" applyBorder="1" applyAlignment="1">
      <alignment horizontal="center" vertical="center" wrapText="1"/>
    </xf>
    <xf numFmtId="1" fontId="20" fillId="7" borderId="47" xfId="0" applyNumberFormat="1" applyFont="1" applyFill="1" applyBorder="1" applyAlignment="1">
      <alignment horizontal="center" vertical="center" wrapText="1"/>
    </xf>
    <xf numFmtId="1" fontId="20" fillId="7" borderId="8" xfId="0" applyNumberFormat="1" applyFont="1" applyFill="1" applyBorder="1" applyAlignment="1">
      <alignment horizontal="center" vertical="center" wrapText="1"/>
    </xf>
    <xf numFmtId="9" fontId="20" fillId="7" borderId="47" xfId="1" applyFont="1" applyFill="1" applyBorder="1" applyAlignment="1" applyProtection="1">
      <alignment horizontal="center" vertical="center" wrapText="1"/>
    </xf>
    <xf numFmtId="9" fontId="20" fillId="7" borderId="8" xfId="1" applyFont="1" applyFill="1" applyBorder="1" applyAlignment="1" applyProtection="1">
      <alignment horizontal="center" vertical="center" wrapText="1"/>
    </xf>
    <xf numFmtId="9" fontId="20" fillId="7" borderId="49" xfId="1" applyFont="1" applyFill="1" applyBorder="1" applyAlignment="1" applyProtection="1">
      <alignment horizontal="center" vertical="center" wrapText="1"/>
    </xf>
    <xf numFmtId="166" fontId="17" fillId="2" borderId="0" xfId="2" applyNumberFormat="1" applyFont="1" applyFill="1" applyBorder="1" applyProtection="1">
      <protection locked="0"/>
    </xf>
    <xf numFmtId="2" fontId="29" fillId="7" borderId="0" xfId="0" applyNumberFormat="1" applyFont="1" applyFill="1"/>
    <xf numFmtId="43" fontId="17" fillId="2" borderId="0" xfId="2" applyFont="1" applyFill="1" applyBorder="1" applyProtection="1">
      <protection locked="0"/>
    </xf>
    <xf numFmtId="166" fontId="17" fillId="2" borderId="1" xfId="2" applyNumberFormat="1" applyFont="1" applyFill="1" applyBorder="1" applyProtection="1">
      <protection locked="0"/>
    </xf>
    <xf numFmtId="0" fontId="17" fillId="6" borderId="0" xfId="0" applyFont="1" applyFill="1" applyProtection="1">
      <protection locked="0"/>
    </xf>
    <xf numFmtId="49" fontId="17" fillId="6" borderId="0" xfId="0" applyNumberFormat="1" applyFont="1" applyFill="1" applyProtection="1">
      <protection locked="0"/>
    </xf>
    <xf numFmtId="9" fontId="17" fillId="6" borderId="0" xfId="1" applyFont="1" applyFill="1" applyBorder="1" applyProtection="1">
      <protection locked="0"/>
    </xf>
    <xf numFmtId="1" fontId="17" fillId="6" borderId="0" xfId="0" applyNumberFormat="1" applyFont="1" applyFill="1" applyProtection="1">
      <protection locked="0"/>
    </xf>
    <xf numFmtId="0" fontId="37" fillId="6" borderId="0" xfId="0" applyFont="1" applyFill="1" applyProtection="1">
      <protection locked="0"/>
    </xf>
    <xf numFmtId="166" fontId="0" fillId="6" borderId="0" xfId="2" applyNumberFormat="1" applyFont="1" applyFill="1" applyAlignment="1">
      <alignment horizontal="right"/>
    </xf>
    <xf numFmtId="166" fontId="41" fillId="7" borderId="15" xfId="2" applyNumberFormat="1" applyFont="1" applyFill="1" applyBorder="1" applyAlignment="1"/>
    <xf numFmtId="0" fontId="46" fillId="4" borderId="0" xfId="0" applyFont="1" applyFill="1" applyAlignment="1">
      <alignment horizontal="center" vertical="center"/>
    </xf>
    <xf numFmtId="0" fontId="46" fillId="4" borderId="15" xfId="0" applyFont="1" applyFill="1" applyBorder="1" applyAlignment="1">
      <alignment horizontal="center" vertical="center"/>
    </xf>
    <xf numFmtId="3" fontId="67" fillId="6" borderId="0" xfId="0" applyNumberFormat="1" applyFont="1" applyFill="1" applyAlignment="1">
      <alignment horizontal="center" wrapText="1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 wrapText="1"/>
    </xf>
    <xf numFmtId="3" fontId="20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15" xfId="0" applyNumberFormat="1" applyFont="1" applyFill="1" applyBorder="1" applyAlignment="1" applyProtection="1">
      <alignment horizontal="center" vertical="center"/>
      <protection locked="0"/>
    </xf>
    <xf numFmtId="3" fontId="20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3" fontId="20" fillId="8" borderId="27" xfId="0" applyNumberFormat="1" applyFont="1" applyFill="1" applyBorder="1" applyAlignment="1" applyProtection="1">
      <alignment horizontal="center" vertical="center"/>
      <protection locked="0"/>
    </xf>
    <xf numFmtId="3" fontId="20" fillId="8" borderId="32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vertical="center"/>
      <protection locked="0"/>
    </xf>
    <xf numFmtId="3" fontId="20" fillId="7" borderId="31" xfId="0" applyNumberFormat="1" applyFont="1" applyFill="1" applyBorder="1" applyAlignment="1" applyProtection="1">
      <alignment horizontal="center" wrapText="1"/>
      <protection locked="0"/>
    </xf>
    <xf numFmtId="3" fontId="20" fillId="7" borderId="32" xfId="0" applyNumberFormat="1" applyFont="1" applyFill="1" applyBorder="1" applyAlignment="1" applyProtection="1">
      <alignment horizontal="center" wrapText="1"/>
      <protection locked="0"/>
    </xf>
    <xf numFmtId="3" fontId="20" fillId="7" borderId="27" xfId="0" applyNumberFormat="1" applyFont="1" applyFill="1" applyBorder="1" applyAlignment="1" applyProtection="1">
      <alignment horizontal="center" wrapText="1"/>
      <protection locked="0"/>
    </xf>
    <xf numFmtId="3" fontId="17" fillId="6" borderId="29" xfId="2" applyNumberFormat="1" applyFont="1" applyFill="1" applyBorder="1"/>
    <xf numFmtId="3" fontId="17" fillId="6" borderId="0" xfId="2" applyNumberFormat="1" applyFont="1" applyFill="1" applyBorder="1"/>
    <xf numFmtId="3" fontId="17" fillId="6" borderId="30" xfId="2" applyNumberFormat="1" applyFont="1" applyFill="1" applyBorder="1"/>
    <xf numFmtId="3" fontId="29" fillId="2" borderId="0" xfId="2" applyNumberFormat="1" applyFont="1" applyFill="1" applyBorder="1" applyProtection="1"/>
    <xf numFmtId="3" fontId="29" fillId="2" borderId="1" xfId="2" applyNumberFormat="1" applyFont="1" applyFill="1" applyBorder="1" applyProtection="1"/>
    <xf numFmtId="3" fontId="29" fillId="2" borderId="3" xfId="2" applyNumberFormat="1" applyFont="1" applyFill="1" applyBorder="1" applyProtection="1"/>
    <xf numFmtId="3" fontId="29" fillId="2" borderId="0" xfId="2" applyNumberFormat="1" applyFont="1" applyFill="1" applyBorder="1"/>
    <xf numFmtId="3" fontId="29" fillId="2" borderId="0" xfId="2" applyNumberFormat="1" applyFont="1" applyFill="1"/>
    <xf numFmtId="3" fontId="29" fillId="2" borderId="1" xfId="2" applyNumberFormat="1" applyFont="1" applyFill="1" applyBorder="1"/>
    <xf numFmtId="3" fontId="29" fillId="2" borderId="0" xfId="2" applyNumberFormat="1" applyFont="1" applyFill="1" applyProtection="1"/>
    <xf numFmtId="3" fontId="29" fillId="2" borderId="5" xfId="2" applyNumberFormat="1" applyFont="1" applyFill="1" applyBorder="1"/>
    <xf numFmtId="3" fontId="29" fillId="2" borderId="30" xfId="2" applyNumberFormat="1" applyFont="1" applyFill="1" applyBorder="1"/>
    <xf numFmtId="164" fontId="17" fillId="6" borderId="29" xfId="0" applyNumberFormat="1" applyFont="1" applyFill="1" applyBorder="1"/>
    <xf numFmtId="164" fontId="17" fillId="6" borderId="0" xfId="0" applyNumberFormat="1" applyFont="1" applyFill="1"/>
    <xf numFmtId="164" fontId="17" fillId="6" borderId="30" xfId="0" applyNumberFormat="1" applyFont="1" applyFill="1" applyBorder="1"/>
    <xf numFmtId="164" fontId="17" fillId="6" borderId="21" xfId="0" applyNumberFormat="1" applyFont="1" applyFill="1" applyBorder="1"/>
    <xf numFmtId="164" fontId="17" fillId="6" borderId="22" xfId="0" applyNumberFormat="1" applyFont="1" applyFill="1" applyBorder="1"/>
    <xf numFmtId="3" fontId="29" fillId="2" borderId="9" xfId="2" applyNumberFormat="1" applyFont="1" applyFill="1" applyBorder="1" applyProtection="1"/>
    <xf numFmtId="3" fontId="29" fillId="2" borderId="4" xfId="2" applyNumberFormat="1" applyFont="1" applyFill="1" applyBorder="1" applyProtection="1"/>
    <xf numFmtId="3" fontId="29" fillId="2" borderId="9" xfId="2" applyNumberFormat="1" applyFont="1" applyFill="1" applyBorder="1"/>
    <xf numFmtId="9" fontId="48" fillId="4" borderId="15" xfId="1" applyFont="1" applyFill="1" applyBorder="1" applyAlignment="1" applyProtection="1">
      <alignment horizontal="center" vertical="center" wrapText="1"/>
    </xf>
    <xf numFmtId="9" fontId="20" fillId="7" borderId="15" xfId="1" applyFont="1" applyFill="1" applyBorder="1" applyAlignment="1" applyProtection="1">
      <alignment horizontal="center" vertical="center"/>
    </xf>
    <xf numFmtId="9" fontId="20" fillId="7" borderId="27" xfId="1" applyFont="1" applyFill="1" applyBorder="1" applyAlignment="1" applyProtection="1">
      <alignment horizontal="center" vertical="center"/>
    </xf>
    <xf numFmtId="3" fontId="68" fillId="8" borderId="15" xfId="0" applyNumberFormat="1" applyFont="1" applyFill="1" applyBorder="1" applyAlignment="1" applyProtection="1">
      <alignment horizontal="center" vertical="center"/>
      <protection locked="0"/>
    </xf>
    <xf numFmtId="0" fontId="47" fillId="6" borderId="0" xfId="0" applyFont="1" applyFill="1"/>
    <xf numFmtId="0" fontId="49" fillId="3" borderId="19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0" fontId="72" fillId="6" borderId="0" xfId="0" applyFont="1" applyFill="1" applyAlignment="1">
      <alignment horizontal="center" wrapText="1"/>
    </xf>
    <xf numFmtId="49" fontId="17" fillId="2" borderId="29" xfId="0" applyNumberFormat="1" applyFont="1" applyFill="1" applyBorder="1" applyProtection="1">
      <protection locked="0"/>
    </xf>
    <xf numFmtId="0" fontId="17" fillId="2" borderId="30" xfId="0" applyFont="1" applyFill="1" applyBorder="1" applyProtection="1">
      <protection locked="0"/>
    </xf>
    <xf numFmtId="0" fontId="17" fillId="2" borderId="23" xfId="0" applyFont="1" applyFill="1" applyBorder="1" applyProtection="1">
      <protection locked="0"/>
    </xf>
    <xf numFmtId="166" fontId="17" fillId="2" borderId="4" xfId="2" applyNumberFormat="1" applyFont="1" applyFill="1" applyBorder="1" applyProtection="1">
      <protection locked="0"/>
    </xf>
    <xf numFmtId="166" fontId="17" fillId="2" borderId="9" xfId="2" applyNumberFormat="1" applyFont="1" applyFill="1" applyBorder="1" applyProtection="1">
      <protection locked="0"/>
    </xf>
    <xf numFmtId="0" fontId="17" fillId="2" borderId="9" xfId="0" applyFont="1" applyFill="1" applyBorder="1" applyProtection="1">
      <protection locked="0"/>
    </xf>
    <xf numFmtId="0" fontId="17" fillId="2" borderId="50" xfId="0" applyFont="1" applyFill="1" applyBorder="1" applyProtection="1">
      <protection locked="0"/>
    </xf>
    <xf numFmtId="3" fontId="68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14" xfId="0" applyNumberFormat="1" applyFont="1" applyFill="1" applyBorder="1" applyAlignment="1" applyProtection="1">
      <alignment horizontal="center" vertical="center"/>
      <protection locked="0"/>
    </xf>
    <xf numFmtId="3" fontId="68" fillId="8" borderId="27" xfId="0" applyNumberFormat="1" applyFont="1" applyFill="1" applyBorder="1" applyAlignment="1" applyProtection="1">
      <alignment horizontal="center" vertical="center"/>
      <protection locked="0"/>
    </xf>
    <xf numFmtId="3" fontId="68" fillId="8" borderId="32" xfId="0" applyNumberFormat="1" applyFont="1" applyFill="1" applyBorder="1" applyAlignment="1" applyProtection="1">
      <alignment horizontal="center" vertical="center"/>
      <protection locked="0"/>
    </xf>
    <xf numFmtId="3" fontId="65" fillId="6" borderId="0" xfId="0" applyNumberFormat="1" applyFont="1" applyFill="1" applyAlignment="1">
      <alignment horizontal="center" wrapText="1"/>
    </xf>
    <xf numFmtId="3" fontId="65" fillId="6" borderId="0" xfId="0" applyNumberFormat="1" applyFont="1" applyFill="1" applyAlignment="1">
      <alignment horizontal="center"/>
    </xf>
    <xf numFmtId="3" fontId="65" fillId="6" borderId="22" xfId="0" applyNumberFormat="1" applyFont="1" applyFill="1" applyBorder="1" applyAlignment="1">
      <alignment horizontal="center" wrapText="1"/>
    </xf>
    <xf numFmtId="0" fontId="64" fillId="4" borderId="18" xfId="0" applyFont="1" applyFill="1" applyBorder="1" applyAlignment="1">
      <alignment vertical="center"/>
    </xf>
    <xf numFmtId="0" fontId="64" fillId="4" borderId="19" xfId="0" applyFont="1" applyFill="1" applyBorder="1" applyAlignment="1">
      <alignment vertical="center"/>
    </xf>
    <xf numFmtId="0" fontId="60" fillId="6" borderId="0" xfId="0" applyFont="1" applyFill="1"/>
    <xf numFmtId="0" fontId="24" fillId="8" borderId="15" xfId="6" applyFont="1" applyFill="1" applyBorder="1"/>
    <xf numFmtId="0" fontId="24" fillId="8" borderId="18" xfId="6" applyFont="1" applyFill="1" applyBorder="1"/>
    <xf numFmtId="0" fontId="24" fillId="8" borderId="21" xfId="6" applyFont="1" applyFill="1" applyBorder="1"/>
    <xf numFmtId="0" fontId="24" fillId="7" borderId="16" xfId="7" applyFont="1" applyFill="1" applyBorder="1" applyProtection="1">
      <protection locked="0"/>
    </xf>
    <xf numFmtId="0" fontId="24" fillId="7" borderId="28" xfId="7" applyFont="1" applyFill="1" applyBorder="1" applyProtection="1">
      <protection locked="0"/>
    </xf>
    <xf numFmtId="14" fontId="24" fillId="7" borderId="28" xfId="7" applyNumberFormat="1" applyFont="1" applyFill="1" applyBorder="1" applyAlignment="1" applyProtection="1">
      <alignment horizontal="left"/>
      <protection locked="0"/>
    </xf>
    <xf numFmtId="1" fontId="17" fillId="6" borderId="15" xfId="0" applyNumberFormat="1" applyFont="1" applyFill="1" applyBorder="1" applyAlignment="1">
      <alignment horizontal="center"/>
    </xf>
    <xf numFmtId="168" fontId="17" fillId="6" borderId="0" xfId="0" applyNumberFormat="1" applyFont="1" applyFill="1" applyAlignment="1">
      <alignment horizontal="center"/>
    </xf>
    <xf numFmtId="0" fontId="58" fillId="6" borderId="0" xfId="0" applyFont="1" applyFill="1" applyAlignment="1">
      <alignment horizontal="center"/>
    </xf>
    <xf numFmtId="1" fontId="54" fillId="6" borderId="0" xfId="3" applyNumberFormat="1" applyFont="1" applyFill="1" applyBorder="1" applyAlignment="1" applyProtection="1">
      <alignment horizontal="left" vertical="center"/>
    </xf>
    <xf numFmtId="0" fontId="53" fillId="6" borderId="0" xfId="0" applyFont="1" applyFill="1"/>
    <xf numFmtId="0" fontId="73" fillId="6" borderId="8" xfId="0" applyFont="1" applyFill="1" applyBorder="1" applyAlignment="1">
      <alignment horizontal="center"/>
    </xf>
    <xf numFmtId="0" fontId="73" fillId="6" borderId="3" xfId="0" applyFont="1" applyFill="1" applyBorder="1" applyAlignment="1">
      <alignment horizontal="center"/>
    </xf>
    <xf numFmtId="0" fontId="74" fillId="8" borderId="13" xfId="0" applyFont="1" applyFill="1" applyBorder="1" applyAlignment="1">
      <alignment horizontal="center"/>
    </xf>
    <xf numFmtId="0" fontId="73" fillId="6" borderId="39" xfId="0" applyFont="1" applyFill="1" applyBorder="1" applyAlignment="1">
      <alignment horizontal="center"/>
    </xf>
    <xf numFmtId="0" fontId="73" fillId="6" borderId="0" xfId="0" applyFont="1" applyFill="1"/>
    <xf numFmtId="1" fontId="17" fillId="6" borderId="22" xfId="4" applyFont="1" applyFill="1" applyBorder="1">
      <alignment horizontal="left" vertical="center"/>
    </xf>
    <xf numFmtId="0" fontId="35" fillId="6" borderId="0" xfId="0" applyFont="1" applyFill="1" applyAlignment="1">
      <alignment horizontal="left" vertical="center"/>
    </xf>
    <xf numFmtId="0" fontId="36" fillId="6" borderId="0" xfId="0" applyFont="1" applyFill="1"/>
    <xf numFmtId="0" fontId="17" fillId="7" borderId="15" xfId="0" applyFont="1" applyFill="1" applyBorder="1"/>
    <xf numFmtId="1" fontId="28" fillId="6" borderId="29" xfId="3" applyNumberFormat="1" applyFont="1" applyFill="1" applyBorder="1" applyAlignment="1" applyProtection="1">
      <alignment horizontal="left" vertical="center"/>
    </xf>
    <xf numFmtId="0" fontId="29" fillId="6" borderId="0" xfId="0" applyFont="1" applyFill="1" applyAlignment="1">
      <alignment horizontal="center"/>
    </xf>
    <xf numFmtId="0" fontId="24" fillId="8" borderId="36" xfId="6" applyFont="1" applyFill="1" applyBorder="1"/>
    <xf numFmtId="0" fontId="24" fillId="6" borderId="0" xfId="0" applyFont="1" applyFill="1" applyAlignment="1">
      <alignment horizontal="right" vertical="center"/>
    </xf>
    <xf numFmtId="0" fontId="17" fillId="8" borderId="18" xfId="0" applyFont="1" applyFill="1" applyBorder="1" applyAlignment="1">
      <alignment horizontal="center"/>
    </xf>
    <xf numFmtId="0" fontId="17" fillId="8" borderId="29" xfId="0" applyFont="1" applyFill="1" applyBorder="1" applyAlignment="1">
      <alignment horizontal="center"/>
    </xf>
    <xf numFmtId="0" fontId="17" fillId="8" borderId="18" xfId="0" applyFont="1" applyFill="1" applyBorder="1"/>
    <xf numFmtId="2" fontId="29" fillId="6" borderId="0" xfId="0" applyNumberFormat="1" applyFont="1" applyFill="1" applyAlignment="1">
      <alignment horizontal="center"/>
    </xf>
    <xf numFmtId="0" fontId="31" fillId="6" borderId="30" xfId="0" applyFont="1" applyFill="1" applyBorder="1"/>
    <xf numFmtId="0" fontId="35" fillId="6" borderId="0" xfId="0" quotePrefix="1" applyFont="1" applyFill="1" applyAlignment="1">
      <alignment horizontal="left" vertical="top" wrapText="1"/>
    </xf>
    <xf numFmtId="0" fontId="78" fillId="7" borderId="59" xfId="7" applyFont="1" applyFill="1" applyBorder="1"/>
    <xf numFmtId="0" fontId="79" fillId="7" borderId="60" xfId="0" applyFont="1" applyFill="1" applyBorder="1"/>
    <xf numFmtId="0" fontId="79" fillId="7" borderId="61" xfId="0" applyFont="1" applyFill="1" applyBorder="1"/>
    <xf numFmtId="1" fontId="45" fillId="6" borderId="0" xfId="3" applyNumberFormat="1" applyFont="1" applyFill="1" applyBorder="1" applyAlignment="1">
      <alignment vertical="center"/>
    </xf>
    <xf numFmtId="2" fontId="58" fillId="6" borderId="13" xfId="0" applyNumberFormat="1" applyFont="1" applyFill="1" applyBorder="1" applyAlignment="1">
      <alignment horizontal="center"/>
    </xf>
    <xf numFmtId="2" fontId="80" fillId="6" borderId="0" xfId="0" applyNumberFormat="1" applyFont="1" applyFill="1"/>
    <xf numFmtId="1" fontId="20" fillId="7" borderId="15" xfId="0" applyNumberFormat="1" applyFont="1" applyFill="1" applyBorder="1" applyAlignment="1">
      <alignment horizontal="center" vertical="center" wrapText="1"/>
    </xf>
    <xf numFmtId="166" fontId="17" fillId="2" borderId="16" xfId="2" applyNumberFormat="1" applyFont="1" applyFill="1" applyBorder="1" applyProtection="1">
      <protection locked="0"/>
    </xf>
    <xf numFmtId="166" fontId="17" fillId="2" borderId="28" xfId="2" applyNumberFormat="1" applyFont="1" applyFill="1" applyBorder="1" applyProtection="1">
      <protection locked="0"/>
    </xf>
    <xf numFmtId="166" fontId="17" fillId="2" borderId="17" xfId="2" applyNumberFormat="1" applyFont="1" applyFill="1" applyBorder="1" applyProtection="1">
      <protection locked="0"/>
    </xf>
    <xf numFmtId="43" fontId="17" fillId="2" borderId="29" xfId="2" applyFont="1" applyFill="1" applyBorder="1" applyProtection="1">
      <protection locked="0"/>
    </xf>
    <xf numFmtId="43" fontId="17" fillId="2" borderId="30" xfId="2" applyFont="1" applyFill="1" applyBorder="1" applyProtection="1">
      <protection locked="0"/>
    </xf>
    <xf numFmtId="43" fontId="17" fillId="2" borderId="22" xfId="2" applyFont="1" applyFill="1" applyBorder="1" applyProtection="1">
      <protection locked="0"/>
    </xf>
    <xf numFmtId="1" fontId="20" fillId="7" borderId="31" xfId="0" applyNumberFormat="1" applyFont="1" applyFill="1" applyBorder="1" applyAlignment="1">
      <alignment horizontal="center" vertical="center" wrapText="1"/>
    </xf>
    <xf numFmtId="1" fontId="20" fillId="7" borderId="32" xfId="0" applyNumberFormat="1" applyFont="1" applyFill="1" applyBorder="1" applyAlignment="1">
      <alignment horizontal="center" vertical="center" wrapText="1"/>
    </xf>
    <xf numFmtId="1" fontId="20" fillId="7" borderId="27" xfId="0" applyNumberFormat="1" applyFont="1" applyFill="1" applyBorder="1" applyAlignment="1">
      <alignment horizontal="center" vertical="center" wrapText="1"/>
    </xf>
    <xf numFmtId="3" fontId="68" fillId="7" borderId="16" xfId="0" applyNumberFormat="1" applyFont="1" applyFill="1" applyBorder="1" applyAlignment="1" applyProtection="1">
      <alignment horizontal="center" wrapText="1"/>
      <protection locked="0"/>
    </xf>
    <xf numFmtId="3" fontId="69" fillId="7" borderId="28" xfId="2" applyNumberFormat="1" applyFont="1" applyFill="1" applyBorder="1" applyAlignment="1" applyProtection="1">
      <alignment horizontal="right"/>
    </xf>
    <xf numFmtId="3" fontId="68" fillId="7" borderId="15" xfId="0" applyNumberFormat="1" applyFont="1" applyFill="1" applyBorder="1" applyAlignment="1" applyProtection="1">
      <alignment horizontal="center" wrapText="1"/>
      <protection locked="0"/>
    </xf>
    <xf numFmtId="0" fontId="17" fillId="8" borderId="19" xfId="0" applyFont="1" applyFill="1" applyBorder="1"/>
    <xf numFmtId="0" fontId="17" fillId="8" borderId="0" xfId="0" applyFont="1" applyFill="1"/>
    <xf numFmtId="0" fontId="17" fillId="8" borderId="30" xfId="0" applyFont="1" applyFill="1" applyBorder="1"/>
    <xf numFmtId="0" fontId="17" fillId="7" borderId="29" xfId="0" applyFont="1" applyFill="1" applyBorder="1" applyAlignment="1">
      <alignment horizontal="left"/>
    </xf>
    <xf numFmtId="168" fontId="17" fillId="6" borderId="0" xfId="0" applyNumberFormat="1" applyFont="1" applyFill="1"/>
    <xf numFmtId="168" fontId="17" fillId="6" borderId="30" xfId="0" applyNumberFormat="1" applyFont="1" applyFill="1" applyBorder="1"/>
    <xf numFmtId="0" fontId="17" fillId="7" borderId="21" xfId="0" applyFont="1" applyFill="1" applyBorder="1" applyAlignment="1">
      <alignment horizontal="left"/>
    </xf>
    <xf numFmtId="168" fontId="17" fillId="6" borderId="22" xfId="0" applyNumberFormat="1" applyFont="1" applyFill="1" applyBorder="1"/>
    <xf numFmtId="168" fontId="17" fillId="6" borderId="23" xfId="0" applyNumberFormat="1" applyFont="1" applyFill="1" applyBorder="1"/>
    <xf numFmtId="0" fontId="81" fillId="11" borderId="72" xfId="0" applyFont="1" applyFill="1" applyBorder="1" applyAlignment="1">
      <alignment vertical="center"/>
    </xf>
    <xf numFmtId="0" fontId="81" fillId="11" borderId="73" xfId="0" applyFont="1" applyFill="1" applyBorder="1" applyAlignment="1">
      <alignment vertical="center"/>
    </xf>
    <xf numFmtId="0" fontId="81" fillId="11" borderId="74" xfId="0" applyFont="1" applyFill="1" applyBorder="1" applyAlignment="1">
      <alignment vertical="center"/>
    </xf>
    <xf numFmtId="0" fontId="81" fillId="11" borderId="75" xfId="0" applyFont="1" applyFill="1" applyBorder="1" applyAlignment="1">
      <alignment vertical="center"/>
    </xf>
    <xf numFmtId="0" fontId="82" fillId="13" borderId="70" xfId="0" applyFont="1" applyFill="1" applyBorder="1"/>
    <xf numFmtId="0" fontId="82" fillId="12" borderId="65" xfId="0" applyFont="1" applyFill="1" applyBorder="1"/>
    <xf numFmtId="0" fontId="82" fillId="12" borderId="63" xfId="0" applyFont="1" applyFill="1" applyBorder="1"/>
    <xf numFmtId="0" fontId="82" fillId="12" borderId="64" xfId="0" applyFont="1" applyFill="1" applyBorder="1" applyAlignment="1">
      <alignment horizontal="center"/>
    </xf>
    <xf numFmtId="0" fontId="82" fillId="13" borderId="71" xfId="0" applyFont="1" applyFill="1" applyBorder="1"/>
    <xf numFmtId="0" fontId="82" fillId="12" borderId="68" xfId="0" applyFont="1" applyFill="1" applyBorder="1"/>
    <xf numFmtId="0" fontId="82" fillId="12" borderId="66" xfId="0" applyFont="1" applyFill="1" applyBorder="1"/>
    <xf numFmtId="0" fontId="82" fillId="12" borderId="67" xfId="0" applyFont="1" applyFill="1" applyBorder="1" applyAlignment="1">
      <alignment horizontal="center"/>
    </xf>
    <xf numFmtId="0" fontId="29" fillId="6" borderId="28" xfId="0" applyFont="1" applyFill="1" applyBorder="1" applyAlignment="1">
      <alignment horizontal="center" vertical="center"/>
    </xf>
    <xf numFmtId="0" fontId="64" fillId="4" borderId="16" xfId="0" applyFont="1" applyFill="1" applyBorder="1" applyAlignment="1">
      <alignment vertical="center"/>
    </xf>
    <xf numFmtId="3" fontId="84" fillId="7" borderId="27" xfId="0" applyNumberFormat="1" applyFont="1" applyFill="1" applyBorder="1" applyAlignment="1" applyProtection="1">
      <alignment horizontal="center" wrapText="1"/>
      <protection locked="0"/>
    </xf>
    <xf numFmtId="166" fontId="17" fillId="7" borderId="6" xfId="2" applyNumberFormat="1" applyFont="1" applyFill="1" applyBorder="1" applyAlignment="1" applyProtection="1"/>
    <xf numFmtId="166" fontId="17" fillId="7" borderId="14" xfId="2" applyNumberFormat="1" applyFont="1" applyFill="1" applyBorder="1" applyAlignment="1" applyProtection="1"/>
    <xf numFmtId="166" fontId="17" fillId="7" borderId="11" xfId="2" applyNumberFormat="1" applyFont="1" applyFill="1" applyBorder="1" applyAlignment="1" applyProtection="1"/>
    <xf numFmtId="166" fontId="2" fillId="7" borderId="29" xfId="2" applyNumberFormat="1" applyFont="1" applyFill="1" applyBorder="1" applyAlignment="1" applyProtection="1"/>
    <xf numFmtId="166" fontId="2" fillId="7" borderId="30" xfId="2" applyNumberFormat="1" applyFont="1" applyFill="1" applyBorder="1" applyAlignment="1" applyProtection="1"/>
    <xf numFmtId="1" fontId="20" fillId="7" borderId="15" xfId="1" applyNumberFormat="1" applyFont="1" applyFill="1" applyBorder="1" applyAlignment="1" applyProtection="1">
      <alignment horizontal="center" vertical="center"/>
    </xf>
    <xf numFmtId="164" fontId="20" fillId="6" borderId="31" xfId="0" applyNumberFormat="1" applyFont="1" applyFill="1" applyBorder="1" applyAlignment="1">
      <alignment horizontal="center"/>
    </xf>
    <xf numFmtId="164" fontId="20" fillId="6" borderId="32" xfId="0" applyNumberFormat="1" applyFont="1" applyFill="1" applyBorder="1" applyAlignment="1">
      <alignment horizontal="center"/>
    </xf>
    <xf numFmtId="164" fontId="20" fillId="6" borderId="27" xfId="0" applyNumberFormat="1" applyFont="1" applyFill="1" applyBorder="1" applyAlignment="1">
      <alignment horizontal="center"/>
    </xf>
    <xf numFmtId="166" fontId="20" fillId="7" borderId="5" xfId="2" applyNumberFormat="1" applyFont="1" applyFill="1" applyBorder="1" applyAlignment="1" applyProtection="1"/>
    <xf numFmtId="166" fontId="20" fillId="7" borderId="14" xfId="2" applyNumberFormat="1" applyFont="1" applyFill="1" applyBorder="1" applyAlignment="1" applyProtection="1"/>
    <xf numFmtId="166" fontId="20" fillId="7" borderId="11" xfId="2" applyNumberFormat="1" applyFont="1" applyFill="1" applyBorder="1" applyAlignment="1" applyProtection="1"/>
    <xf numFmtId="0" fontId="64" fillId="4" borderId="20" xfId="0" applyFont="1" applyFill="1" applyBorder="1" applyAlignment="1">
      <alignment vertical="center"/>
    </xf>
    <xf numFmtId="166" fontId="20" fillId="7" borderId="6" xfId="2" applyNumberFormat="1" applyFont="1" applyFill="1" applyBorder="1" applyAlignment="1" applyProtection="1"/>
    <xf numFmtId="0" fontId="29" fillId="6" borderId="7" xfId="0" applyFont="1" applyFill="1" applyBorder="1" applyAlignment="1">
      <alignment horizontal="center"/>
    </xf>
    <xf numFmtId="0" fontId="29" fillId="6" borderId="6" xfId="0" applyFont="1" applyFill="1" applyBorder="1" applyAlignment="1">
      <alignment horizontal="center"/>
    </xf>
    <xf numFmtId="0" fontId="24" fillId="6" borderId="2" xfId="6" applyFont="1" applyFill="1" applyBorder="1"/>
    <xf numFmtId="0" fontId="17" fillId="6" borderId="47" xfId="0" applyFont="1" applyFill="1" applyBorder="1"/>
    <xf numFmtId="0" fontId="29" fillId="6" borderId="47" xfId="0" applyFont="1" applyFill="1" applyBorder="1" applyAlignment="1">
      <alignment horizontal="center"/>
    </xf>
    <xf numFmtId="0" fontId="0" fillId="7" borderId="78" xfId="0" applyFill="1" applyBorder="1" applyAlignment="1">
      <alignment horizontal="center"/>
    </xf>
    <xf numFmtId="167" fontId="0" fillId="6" borderId="47" xfId="0" applyNumberFormat="1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79" xfId="0" applyFill="1" applyBorder="1" applyAlignment="1">
      <alignment horizontal="center"/>
    </xf>
    <xf numFmtId="0" fontId="3" fillId="7" borderId="54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167" fontId="85" fillId="6" borderId="0" xfId="0" applyNumberFormat="1" applyFont="1" applyFill="1" applyAlignment="1">
      <alignment horizontal="center"/>
    </xf>
    <xf numFmtId="0" fontId="24" fillId="8" borderId="8" xfId="6" applyFont="1" applyFill="1" applyBorder="1" applyAlignment="1">
      <alignment vertical="center"/>
    </xf>
    <xf numFmtId="0" fontId="24" fillId="8" borderId="13" xfId="6" applyFont="1" applyFill="1" applyBorder="1"/>
    <xf numFmtId="0" fontId="30" fillId="8" borderId="13" xfId="6" applyFont="1" applyFill="1" applyBorder="1" applyAlignment="1">
      <alignment horizontal="right"/>
    </xf>
    <xf numFmtId="0" fontId="17" fillId="6" borderId="3" xfId="0" applyFont="1" applyFill="1" applyBorder="1"/>
    <xf numFmtId="2" fontId="17" fillId="7" borderId="14" xfId="0" applyNumberFormat="1" applyFont="1" applyFill="1" applyBorder="1" applyAlignment="1" applyProtection="1">
      <alignment horizontal="center"/>
      <protection locked="0"/>
    </xf>
    <xf numFmtId="2" fontId="17" fillId="2" borderId="29" xfId="2" applyNumberFormat="1" applyFont="1" applyFill="1" applyBorder="1" applyProtection="1">
      <protection locked="0"/>
    </xf>
    <xf numFmtId="169" fontId="42" fillId="6" borderId="0" xfId="0" applyNumberFormat="1" applyFont="1" applyFill="1" applyAlignment="1">
      <alignment horizontal="center"/>
    </xf>
    <xf numFmtId="169" fontId="85" fillId="6" borderId="0" xfId="0" applyNumberFormat="1" applyFont="1" applyFill="1" applyAlignment="1">
      <alignment horizontal="center"/>
    </xf>
    <xf numFmtId="169" fontId="42" fillId="6" borderId="47" xfId="0" applyNumberFormat="1" applyFont="1" applyFill="1" applyBorder="1" applyAlignment="1">
      <alignment horizontal="center"/>
    </xf>
    <xf numFmtId="169" fontId="0" fillId="6" borderId="0" xfId="0" applyNumberFormat="1" applyFill="1" applyAlignment="1">
      <alignment horizontal="center"/>
    </xf>
    <xf numFmtId="2" fontId="53" fillId="6" borderId="2" xfId="0" applyNumberFormat="1" applyFont="1" applyFill="1" applyBorder="1" applyAlignment="1">
      <alignment horizontal="center"/>
    </xf>
    <xf numFmtId="2" fontId="53" fillId="6" borderId="1" xfId="0" applyNumberFormat="1" applyFont="1" applyFill="1" applyBorder="1" applyAlignment="1">
      <alignment horizontal="center"/>
    </xf>
    <xf numFmtId="2" fontId="56" fillId="6" borderId="11" xfId="0" applyNumberFormat="1" applyFont="1" applyFill="1" applyBorder="1" applyAlignment="1">
      <alignment horizontal="center"/>
    </xf>
    <xf numFmtId="2" fontId="56" fillId="8" borderId="12" xfId="0" applyNumberFormat="1" applyFont="1" applyFill="1" applyBorder="1" applyAlignment="1">
      <alignment horizontal="center"/>
    </xf>
    <xf numFmtId="2" fontId="57" fillId="8" borderId="12" xfId="0" applyNumberFormat="1" applyFont="1" applyFill="1" applyBorder="1" applyAlignment="1">
      <alignment horizontal="center"/>
    </xf>
    <xf numFmtId="167" fontId="53" fillId="6" borderId="1" xfId="0" applyNumberFormat="1" applyFont="1" applyFill="1" applyBorder="1" applyAlignment="1">
      <alignment horizontal="center"/>
    </xf>
    <xf numFmtId="4" fontId="29" fillId="2" borderId="0" xfId="2" applyNumberFormat="1" applyFont="1" applyFill="1" applyBorder="1"/>
    <xf numFmtId="4" fontId="29" fillId="2" borderId="0" xfId="2" applyNumberFormat="1" applyFont="1" applyFill="1"/>
    <xf numFmtId="2" fontId="17" fillId="6" borderId="81" xfId="0" applyNumberFormat="1" applyFont="1" applyFill="1" applyBorder="1"/>
    <xf numFmtId="169" fontId="0" fillId="2" borderId="50" xfId="0" applyNumberFormat="1" applyFill="1" applyBorder="1"/>
    <xf numFmtId="0" fontId="0" fillId="7" borderId="6" xfId="0" applyFill="1" applyBorder="1" applyAlignment="1">
      <alignment horizontal="center"/>
    </xf>
    <xf numFmtId="0" fontId="0" fillId="6" borderId="9" xfId="0" applyFill="1" applyBorder="1"/>
    <xf numFmtId="0" fontId="0" fillId="6" borderId="10" xfId="0" applyFill="1" applyBorder="1"/>
    <xf numFmtId="0" fontId="0" fillId="7" borderId="80" xfId="0" applyFill="1" applyBorder="1" applyAlignment="1">
      <alignment horizontal="center"/>
    </xf>
    <xf numFmtId="167" fontId="0" fillId="6" borderId="9" xfId="0" applyNumberFormat="1" applyFill="1" applyBorder="1" applyAlignment="1">
      <alignment horizontal="center"/>
    </xf>
    <xf numFmtId="169" fontId="42" fillId="6" borderId="9" xfId="0" applyNumberFormat="1" applyFont="1" applyFill="1" applyBorder="1" applyAlignment="1">
      <alignment horizontal="center"/>
    </xf>
    <xf numFmtId="0" fontId="0" fillId="6" borderId="81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17" fillId="8" borderId="29" xfId="0" applyFont="1" applyFill="1" applyBorder="1" applyAlignment="1">
      <alignment vertical="center" wrapText="1"/>
    </xf>
    <xf numFmtId="43" fontId="17" fillId="2" borderId="30" xfId="2" applyFont="1" applyFill="1" applyBorder="1" applyAlignment="1">
      <alignment horizontal="center" vertical="center"/>
    </xf>
    <xf numFmtId="0" fontId="88" fillId="6" borderId="0" xfId="0" applyFont="1" applyFill="1"/>
    <xf numFmtId="43" fontId="17" fillId="6" borderId="15" xfId="2" applyFont="1" applyFill="1" applyBorder="1" applyAlignment="1">
      <alignment horizontal="center"/>
    </xf>
    <xf numFmtId="43" fontId="17" fillId="6" borderId="15" xfId="0" applyNumberFormat="1" applyFont="1" applyFill="1" applyBorder="1"/>
    <xf numFmtId="43" fontId="17" fillId="6" borderId="27" xfId="0" applyNumberFormat="1" applyFont="1" applyFill="1" applyBorder="1"/>
    <xf numFmtId="166" fontId="17" fillId="6" borderId="16" xfId="2" applyNumberFormat="1" applyFont="1" applyFill="1" applyBorder="1" applyAlignment="1">
      <alignment horizontal="center"/>
    </xf>
    <xf numFmtId="166" fontId="17" fillId="6" borderId="30" xfId="2" applyNumberFormat="1" applyFont="1" applyFill="1" applyBorder="1" applyAlignment="1">
      <alignment horizontal="center"/>
    </xf>
    <xf numFmtId="0" fontId="17" fillId="8" borderId="18" xfId="0" applyFont="1" applyFill="1" applyBorder="1" applyAlignment="1">
      <alignment vertical="center"/>
    </xf>
    <xf numFmtId="43" fontId="17" fillId="6" borderId="20" xfId="2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" vertical="center"/>
    </xf>
    <xf numFmtId="0" fontId="17" fillId="8" borderId="16" xfId="0" applyFont="1" applyFill="1" applyBorder="1" applyAlignment="1">
      <alignment vertical="center"/>
    </xf>
    <xf numFmtId="0" fontId="17" fillId="6" borderId="18" xfId="0" applyFont="1" applyFill="1" applyBorder="1" applyAlignment="1">
      <alignment vertical="center"/>
    </xf>
    <xf numFmtId="0" fontId="17" fillId="8" borderId="28" xfId="0" applyFont="1" applyFill="1" applyBorder="1" applyAlignment="1">
      <alignment vertical="center"/>
    </xf>
    <xf numFmtId="0" fontId="17" fillId="6" borderId="29" xfId="0" applyFont="1" applyFill="1" applyBorder="1" applyAlignment="1">
      <alignment vertical="center"/>
    </xf>
    <xf numFmtId="0" fontId="17" fillId="8" borderId="17" xfId="0" applyFont="1" applyFill="1" applyBorder="1" applyAlignment="1">
      <alignment vertical="center"/>
    </xf>
    <xf numFmtId="0" fontId="17" fillId="6" borderId="21" xfId="0" applyFont="1" applyFill="1" applyBorder="1" applyAlignment="1">
      <alignment vertical="center"/>
    </xf>
    <xf numFmtId="0" fontId="29" fillId="6" borderId="17" xfId="0" applyFont="1" applyFill="1" applyBorder="1" applyAlignment="1">
      <alignment horizontal="center" vertical="center"/>
    </xf>
    <xf numFmtId="0" fontId="17" fillId="8" borderId="29" xfId="0" applyFont="1" applyFill="1" applyBorder="1" applyAlignment="1">
      <alignment vertical="center"/>
    </xf>
    <xf numFmtId="0" fontId="17" fillId="8" borderId="21" xfId="0" applyFont="1" applyFill="1" applyBorder="1" applyAlignment="1">
      <alignment vertical="center"/>
    </xf>
    <xf numFmtId="43" fontId="17" fillId="2" borderId="23" xfId="2" applyFont="1" applyFill="1" applyBorder="1" applyAlignment="1">
      <alignment horizontal="center" vertical="center"/>
    </xf>
    <xf numFmtId="0" fontId="89" fillId="6" borderId="29" xfId="0" applyFont="1" applyFill="1" applyBorder="1"/>
    <xf numFmtId="0" fontId="89" fillId="6" borderId="0" xfId="0" applyFont="1" applyFill="1"/>
    <xf numFmtId="0" fontId="24" fillId="6" borderId="1" xfId="6" applyFont="1" applyFill="1" applyBorder="1"/>
    <xf numFmtId="0" fontId="89" fillId="6" borderId="21" xfId="0" applyFont="1" applyFill="1" applyBorder="1"/>
    <xf numFmtId="0" fontId="91" fillId="6" borderId="0" xfId="0" applyFont="1" applyFill="1"/>
    <xf numFmtId="0" fontId="73" fillId="6" borderId="7" xfId="0" applyFont="1" applyFill="1" applyBorder="1" applyAlignment="1">
      <alignment horizontal="center"/>
    </xf>
    <xf numFmtId="0" fontId="73" fillId="6" borderId="5" xfId="0" applyFont="1" applyFill="1" applyBorder="1" applyAlignment="1">
      <alignment horizontal="center"/>
    </xf>
    <xf numFmtId="0" fontId="73" fillId="6" borderId="6" xfId="0" applyFont="1" applyFill="1" applyBorder="1" applyAlignment="1">
      <alignment horizontal="center"/>
    </xf>
    <xf numFmtId="0" fontId="73" fillId="6" borderId="2" xfId="0" applyFont="1" applyFill="1" applyBorder="1" applyAlignment="1">
      <alignment horizontal="center"/>
    </xf>
    <xf numFmtId="0" fontId="73" fillId="6" borderId="1" xfId="0" applyFont="1" applyFill="1" applyBorder="1" applyAlignment="1">
      <alignment horizontal="center"/>
    </xf>
    <xf numFmtId="0" fontId="73" fillId="6" borderId="4" xfId="0" applyFont="1" applyFill="1" applyBorder="1" applyAlignment="1">
      <alignment horizontal="center"/>
    </xf>
    <xf numFmtId="0" fontId="74" fillId="6" borderId="1" xfId="0" applyFont="1" applyFill="1" applyBorder="1" applyAlignment="1">
      <alignment horizontal="center"/>
    </xf>
    <xf numFmtId="0" fontId="56" fillId="8" borderId="41" xfId="0" applyFont="1" applyFill="1" applyBorder="1" applyAlignment="1">
      <alignment horizontal="center"/>
    </xf>
    <xf numFmtId="3" fontId="56" fillId="6" borderId="14" xfId="0" applyNumberFormat="1" applyFont="1" applyFill="1" applyBorder="1" applyAlignment="1">
      <alignment horizontal="center"/>
    </xf>
    <xf numFmtId="0" fontId="56" fillId="8" borderId="7" xfId="0" applyFont="1" applyFill="1" applyBorder="1" applyAlignment="1">
      <alignment horizontal="center"/>
    </xf>
    <xf numFmtId="0" fontId="56" fillId="8" borderId="14" xfId="0" applyFont="1" applyFill="1" applyBorder="1" applyAlignment="1">
      <alignment horizontal="center"/>
    </xf>
    <xf numFmtId="0" fontId="17" fillId="6" borderId="14" xfId="0" applyFont="1" applyFill="1" applyBorder="1"/>
    <xf numFmtId="0" fontId="17" fillId="7" borderId="14" xfId="6" applyFont="1" applyFill="1" applyBorder="1"/>
    <xf numFmtId="0" fontId="17" fillId="6" borderId="14" xfId="6" applyFont="1" applyFill="1" applyBorder="1" applyAlignment="1">
      <alignment horizontal="center"/>
    </xf>
    <xf numFmtId="0" fontId="17" fillId="6" borderId="14" xfId="6" applyFont="1" applyFill="1" applyBorder="1"/>
    <xf numFmtId="0" fontId="0" fillId="6" borderId="14" xfId="0" applyFill="1" applyBorder="1"/>
    <xf numFmtId="0" fontId="17" fillId="8" borderId="14" xfId="0" applyFont="1" applyFill="1" applyBorder="1" applyAlignment="1">
      <alignment horizontal="center"/>
    </xf>
    <xf numFmtId="2" fontId="17" fillId="8" borderId="14" xfId="0" applyNumberFormat="1" applyFont="1" applyFill="1" applyBorder="1" applyAlignment="1">
      <alignment horizontal="center"/>
    </xf>
    <xf numFmtId="0" fontId="27" fillId="6" borderId="14" xfId="0" applyFont="1" applyFill="1" applyBorder="1"/>
    <xf numFmtId="0" fontId="26" fillId="0" borderId="4" xfId="0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2" xfId="0" applyBorder="1" applyAlignment="1">
      <alignment wrapText="1"/>
    </xf>
    <xf numFmtId="0" fontId="0" fillId="8" borderId="4" xfId="0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0" fillId="8" borderId="10" xfId="0" applyFill="1" applyBorder="1" applyAlignment="1">
      <alignment wrapText="1"/>
    </xf>
    <xf numFmtId="0" fontId="24" fillId="8" borderId="14" xfId="6" applyFont="1" applyFill="1" applyBorder="1" applyAlignment="1">
      <alignment wrapText="1"/>
    </xf>
    <xf numFmtId="0" fontId="104" fillId="6" borderId="0" xfId="0" applyFont="1" applyFill="1" applyProtection="1">
      <protection locked="0"/>
    </xf>
    <xf numFmtId="3" fontId="67" fillId="6" borderId="1" xfId="0" applyNumberFormat="1" applyFont="1" applyFill="1" applyBorder="1" applyAlignment="1">
      <alignment horizontal="center"/>
    </xf>
    <xf numFmtId="9" fontId="0" fillId="6" borderId="0" xfId="0" applyNumberFormat="1" applyFill="1"/>
    <xf numFmtId="0" fontId="0" fillId="6" borderId="0" xfId="0" quotePrefix="1" applyFill="1"/>
    <xf numFmtId="0" fontId="40" fillId="4" borderId="32" xfId="0" applyFont="1" applyFill="1" applyBorder="1" applyAlignment="1">
      <alignment horizontal="center" vertical="center"/>
    </xf>
    <xf numFmtId="0" fontId="12" fillId="4" borderId="32" xfId="0" applyFont="1" applyFill="1" applyBorder="1" applyAlignment="1">
      <alignment vertical="center"/>
    </xf>
    <xf numFmtId="0" fontId="20" fillId="7" borderId="14" xfId="0" applyFont="1" applyFill="1" applyBorder="1" applyAlignment="1">
      <alignment horizontal="center" vertical="center" wrapText="1"/>
    </xf>
    <xf numFmtId="166" fontId="17" fillId="7" borderId="12" xfId="2" applyNumberFormat="1" applyFont="1" applyFill="1" applyBorder="1" applyAlignment="1" applyProtection="1"/>
    <xf numFmtId="166" fontId="17" fillId="7" borderId="13" xfId="2" applyNumberFormat="1" applyFont="1" applyFill="1" applyBorder="1" applyAlignment="1" applyProtection="1"/>
    <xf numFmtId="166" fontId="2" fillId="7" borderId="20" xfId="2" applyNumberFormat="1" applyFont="1" applyFill="1" applyBorder="1" applyAlignment="1"/>
    <xf numFmtId="3" fontId="0" fillId="10" borderId="8" xfId="2" applyNumberFormat="1" applyFont="1" applyFill="1" applyBorder="1" applyAlignment="1"/>
    <xf numFmtId="3" fontId="1" fillId="10" borderId="3" xfId="0" applyNumberFormat="1" applyFont="1" applyFill="1" applyBorder="1" applyAlignment="1">
      <alignment horizontal="center"/>
    </xf>
    <xf numFmtId="3" fontId="1" fillId="10" borderId="10" xfId="0" applyNumberFormat="1" applyFont="1" applyFill="1" applyBorder="1" applyAlignment="1">
      <alignment horizontal="center" wrapText="1"/>
    </xf>
    <xf numFmtId="3" fontId="67" fillId="6" borderId="3" xfId="0" applyNumberFormat="1" applyFont="1" applyFill="1" applyBorder="1" applyAlignment="1">
      <alignment horizontal="center"/>
    </xf>
    <xf numFmtId="10" fontId="29" fillId="2" borderId="1" xfId="2" applyNumberFormat="1" applyFont="1" applyFill="1" applyBorder="1"/>
    <xf numFmtId="10" fontId="29" fillId="2" borderId="0" xfId="2" applyNumberFormat="1" applyFont="1" applyFill="1" applyBorder="1"/>
    <xf numFmtId="10" fontId="29" fillId="2" borderId="3" xfId="2" applyNumberFormat="1" applyFont="1" applyFill="1" applyBorder="1"/>
    <xf numFmtId="3" fontId="29" fillId="2" borderId="5" xfId="2" quotePrefix="1" applyNumberFormat="1" applyFont="1" applyFill="1" applyBorder="1"/>
    <xf numFmtId="3" fontId="29" fillId="2" borderId="0" xfId="2" quotePrefix="1" applyNumberFormat="1" applyFont="1" applyFill="1" applyBorder="1"/>
    <xf numFmtId="3" fontId="29" fillId="2" borderId="1" xfId="2" quotePrefix="1" applyNumberFormat="1" applyFont="1" applyFill="1" applyBorder="1"/>
    <xf numFmtId="3" fontId="20" fillId="8" borderId="47" xfId="0" applyNumberFormat="1" applyFont="1" applyFill="1" applyBorder="1" applyAlignment="1" applyProtection="1">
      <alignment vertical="center"/>
      <protection locked="0"/>
    </xf>
    <xf numFmtId="0" fontId="20" fillId="7" borderId="82" xfId="0" applyFont="1" applyFill="1" applyBorder="1" applyAlignment="1">
      <alignment horizontal="center" vertical="center" wrapText="1"/>
    </xf>
    <xf numFmtId="3" fontId="29" fillId="2" borderId="0" xfId="2" quotePrefix="1" applyNumberFormat="1" applyFont="1" applyFill="1"/>
    <xf numFmtId="174" fontId="70" fillId="7" borderId="28" xfId="0" applyNumberFormat="1" applyFont="1" applyFill="1" applyBorder="1" applyAlignment="1">
      <alignment horizontal="center"/>
    </xf>
    <xf numFmtId="174" fontId="17" fillId="6" borderId="29" xfId="0" applyNumberFormat="1" applyFont="1" applyFill="1" applyBorder="1" applyAlignment="1">
      <alignment horizontal="center"/>
    </xf>
    <xf numFmtId="174" fontId="17" fillId="6" borderId="0" xfId="0" applyNumberFormat="1" applyFont="1" applyFill="1" applyAlignment="1">
      <alignment horizontal="center"/>
    </xf>
    <xf numFmtId="174" fontId="17" fillId="6" borderId="30" xfId="0" applyNumberFormat="1" applyFont="1" applyFill="1" applyBorder="1" applyAlignment="1">
      <alignment horizontal="center"/>
    </xf>
    <xf numFmtId="174" fontId="70" fillId="7" borderId="17" xfId="0" applyNumberFormat="1" applyFont="1" applyFill="1" applyBorder="1" applyAlignment="1">
      <alignment horizontal="center"/>
    </xf>
    <xf numFmtId="2" fontId="17" fillId="6" borderId="17" xfId="0" applyNumberFormat="1" applyFont="1" applyFill="1" applyBorder="1" applyAlignment="1">
      <alignment horizontal="center"/>
    </xf>
    <xf numFmtId="2" fontId="17" fillId="2" borderId="0" xfId="0" applyNumberFormat="1" applyFont="1" applyFill="1" applyProtection="1">
      <protection locked="0"/>
    </xf>
    <xf numFmtId="0" fontId="17" fillId="7" borderId="28" xfId="0" applyFont="1" applyFill="1" applyBorder="1" applyAlignment="1" applyProtection="1">
      <alignment horizontal="left"/>
      <protection locked="0"/>
    </xf>
    <xf numFmtId="0" fontId="17" fillId="7" borderId="15" xfId="0" applyFont="1" applyFill="1" applyBorder="1" applyAlignment="1" applyProtection="1">
      <alignment horizontal="center"/>
      <protection locked="0"/>
    </xf>
    <xf numFmtId="0" fontId="17" fillId="7" borderId="18" xfId="0" applyFont="1" applyFill="1" applyBorder="1" applyAlignment="1" applyProtection="1">
      <alignment horizontal="right" vertical="center"/>
      <protection locked="0"/>
    </xf>
    <xf numFmtId="0" fontId="17" fillId="7" borderId="29" xfId="0" applyFont="1" applyFill="1" applyBorder="1" applyAlignment="1" applyProtection="1">
      <alignment horizontal="right" vertical="center"/>
      <protection locked="0"/>
    </xf>
    <xf numFmtId="0" fontId="17" fillId="7" borderId="7" xfId="0" applyFont="1" applyFill="1" applyBorder="1" applyAlignment="1" applyProtection="1">
      <alignment horizontal="right" vertical="center"/>
      <protection locked="0"/>
    </xf>
    <xf numFmtId="0" fontId="17" fillId="7" borderId="5" xfId="0" applyFont="1" applyFill="1" applyBorder="1" applyAlignment="1" applyProtection="1">
      <alignment horizontal="right" vertical="center"/>
      <protection locked="0"/>
    </xf>
    <xf numFmtId="0" fontId="17" fillId="7" borderId="6" xfId="0" applyFont="1" applyFill="1" applyBorder="1" applyAlignment="1" applyProtection="1">
      <alignment horizontal="right" vertical="center"/>
      <protection locked="0"/>
    </xf>
    <xf numFmtId="0" fontId="17" fillId="7" borderId="14" xfId="0" applyFont="1" applyFill="1" applyBorder="1" applyProtection="1">
      <protection locked="0"/>
    </xf>
    <xf numFmtId="0" fontId="17" fillId="7" borderId="7" xfId="0" applyFont="1" applyFill="1" applyBorder="1" applyProtection="1">
      <protection locked="0"/>
    </xf>
    <xf numFmtId="0" fontId="17" fillId="7" borderId="13" xfId="0" applyFont="1" applyFill="1" applyBorder="1" applyProtection="1">
      <protection locked="0"/>
    </xf>
    <xf numFmtId="0" fontId="17" fillId="7" borderId="10" xfId="0" applyFont="1" applyFill="1" applyBorder="1" applyProtection="1">
      <protection locked="0"/>
    </xf>
    <xf numFmtId="0" fontId="17" fillId="7" borderId="14" xfId="0" applyFont="1" applyFill="1" applyBorder="1" applyAlignment="1" applyProtection="1">
      <alignment horizontal="center"/>
      <protection locked="0"/>
    </xf>
    <xf numFmtId="0" fontId="17" fillId="7" borderId="7" xfId="0" applyFont="1" applyFill="1" applyBorder="1" applyAlignment="1" applyProtection="1">
      <alignment horizontal="center"/>
      <protection locked="0"/>
    </xf>
    <xf numFmtId="0" fontId="23" fillId="2" borderId="29" xfId="0" applyFont="1" applyFill="1" applyBorder="1" applyProtection="1">
      <protection locked="0"/>
    </xf>
    <xf numFmtId="49" fontId="23" fillId="2" borderId="0" xfId="0" applyNumberFormat="1" applyFont="1" applyFill="1" applyProtection="1">
      <protection locked="0"/>
    </xf>
    <xf numFmtId="49" fontId="23" fillId="2" borderId="30" xfId="0" applyNumberFormat="1" applyFont="1" applyFill="1" applyBorder="1" applyProtection="1">
      <protection locked="0"/>
    </xf>
    <xf numFmtId="166" fontId="23" fillId="2" borderId="0" xfId="2" applyNumberFormat="1" applyFont="1" applyFill="1" applyBorder="1" applyProtection="1">
      <protection locked="0"/>
    </xf>
    <xf numFmtId="166" fontId="23" fillId="2" borderId="30" xfId="2" applyNumberFormat="1" applyFont="1" applyFill="1" applyBorder="1" applyProtection="1">
      <protection locked="0"/>
    </xf>
    <xf numFmtId="166" fontId="23" fillId="2" borderId="29" xfId="2" applyNumberFormat="1" applyFont="1" applyFill="1" applyBorder="1" applyProtection="1">
      <protection locked="0"/>
    </xf>
    <xf numFmtId="0" fontId="23" fillId="2" borderId="0" xfId="0" applyFont="1" applyFill="1" applyProtection="1">
      <protection locked="0"/>
    </xf>
    <xf numFmtId="9" fontId="23" fillId="2" borderId="30" xfId="1" applyFont="1" applyFill="1" applyBorder="1" applyAlignment="1" applyProtection="1">
      <alignment horizontal="center"/>
      <protection locked="0"/>
    </xf>
    <xf numFmtId="9" fontId="23" fillId="2" borderId="29" xfId="1" applyFont="1" applyFill="1" applyBorder="1" applyAlignment="1" applyProtection="1">
      <alignment horizontal="center"/>
      <protection locked="0"/>
    </xf>
    <xf numFmtId="9" fontId="23" fillId="2" borderId="0" xfId="1" applyFont="1" applyFill="1" applyBorder="1" applyAlignment="1" applyProtection="1">
      <alignment horizontal="center"/>
      <protection locked="0"/>
    </xf>
    <xf numFmtId="9" fontId="23" fillId="2" borderId="29" xfId="2" applyNumberFormat="1" applyFont="1" applyFill="1" applyBorder="1" applyProtection="1">
      <protection locked="0"/>
    </xf>
    <xf numFmtId="9" fontId="23" fillId="2" borderId="0" xfId="2" applyNumberFormat="1" applyFont="1" applyFill="1" applyBorder="1" applyProtection="1">
      <protection locked="0"/>
    </xf>
    <xf numFmtId="9" fontId="23" fillId="2" borderId="30" xfId="2" applyNumberFormat="1" applyFont="1" applyFill="1" applyBorder="1" applyProtection="1">
      <protection locked="0"/>
    </xf>
    <xf numFmtId="3" fontId="23" fillId="6" borderId="29" xfId="2" applyNumberFormat="1" applyFont="1" applyFill="1" applyBorder="1"/>
    <xf numFmtId="3" fontId="23" fillId="6" borderId="0" xfId="2" applyNumberFormat="1" applyFont="1" applyFill="1" applyBorder="1"/>
    <xf numFmtId="3" fontId="23" fillId="6" borderId="30" xfId="2" applyNumberFormat="1" applyFont="1" applyFill="1" applyBorder="1"/>
    <xf numFmtId="3" fontId="65" fillId="2" borderId="0" xfId="2" applyNumberFormat="1" applyFont="1" applyFill="1" applyBorder="1" applyProtection="1"/>
    <xf numFmtId="3" fontId="65" fillId="2" borderId="1" xfId="2" applyNumberFormat="1" applyFont="1" applyFill="1" applyBorder="1" applyProtection="1"/>
    <xf numFmtId="3" fontId="65" fillId="2" borderId="3" xfId="2" applyNumberFormat="1" applyFont="1" applyFill="1" applyBorder="1" applyProtection="1"/>
    <xf numFmtId="4" fontId="65" fillId="2" borderId="0" xfId="2" applyNumberFormat="1" applyFont="1" applyFill="1" applyBorder="1"/>
    <xf numFmtId="3" fontId="65" fillId="2" borderId="0" xfId="2" applyNumberFormat="1" applyFont="1" applyFill="1" applyBorder="1"/>
    <xf numFmtId="3" fontId="65" fillId="2" borderId="0" xfId="2" applyNumberFormat="1" applyFont="1" applyFill="1"/>
    <xf numFmtId="3" fontId="65" fillId="2" borderId="1" xfId="2" applyNumberFormat="1" applyFont="1" applyFill="1" applyBorder="1"/>
    <xf numFmtId="3" fontId="65" fillId="2" borderId="0" xfId="2" quotePrefix="1" applyNumberFormat="1" applyFont="1" applyFill="1" applyBorder="1"/>
    <xf numFmtId="3" fontId="65" fillId="2" borderId="0" xfId="2" applyNumberFormat="1" applyFont="1" applyFill="1" applyProtection="1"/>
    <xf numFmtId="3" fontId="65" fillId="2" borderId="0" xfId="2" quotePrefix="1" applyNumberFormat="1" applyFont="1" applyFill="1"/>
    <xf numFmtId="3" fontId="65" fillId="2" borderId="1" xfId="2" quotePrefix="1" applyNumberFormat="1" applyFont="1" applyFill="1" applyBorder="1"/>
    <xf numFmtId="3" fontId="65" fillId="2" borderId="5" xfId="2" quotePrefix="1" applyNumberFormat="1" applyFont="1" applyFill="1" applyBorder="1"/>
    <xf numFmtId="10" fontId="65" fillId="2" borderId="1" xfId="2" applyNumberFormat="1" applyFont="1" applyFill="1" applyBorder="1"/>
    <xf numFmtId="10" fontId="65" fillId="2" borderId="0" xfId="2" applyNumberFormat="1" applyFont="1" applyFill="1" applyBorder="1"/>
    <xf numFmtId="10" fontId="65" fillId="2" borderId="3" xfId="2" applyNumberFormat="1" applyFont="1" applyFill="1" applyBorder="1"/>
    <xf numFmtId="3" fontId="41" fillId="7" borderId="29" xfId="2" applyNumberFormat="1" applyFont="1" applyFill="1" applyBorder="1"/>
    <xf numFmtId="3" fontId="41" fillId="7" borderId="30" xfId="2" applyNumberFormat="1" applyFont="1" applyFill="1" applyBorder="1"/>
    <xf numFmtId="170" fontId="0" fillId="6" borderId="0" xfId="2" applyNumberFormat="1" applyFont="1" applyFill="1"/>
    <xf numFmtId="173" fontId="0" fillId="6" borderId="0" xfId="2" applyNumberFormat="1" applyFont="1" applyFill="1" applyAlignment="1"/>
    <xf numFmtId="3" fontId="0" fillId="6" borderId="0" xfId="0" quotePrefix="1" applyNumberFormat="1" applyFill="1" applyAlignment="1">
      <alignment horizontal="center"/>
    </xf>
    <xf numFmtId="171" fontId="0" fillId="6" borderId="0" xfId="2" applyNumberFormat="1" applyFont="1" applyFill="1"/>
    <xf numFmtId="0" fontId="0" fillId="6" borderId="47" xfId="0" applyFill="1" applyBorder="1"/>
    <xf numFmtId="0" fontId="0" fillId="6" borderId="2" xfId="0" applyFill="1" applyBorder="1"/>
    <xf numFmtId="164" fontId="23" fillId="6" borderId="29" xfId="0" applyNumberFormat="1" applyFont="1" applyFill="1" applyBorder="1"/>
    <xf numFmtId="164" fontId="23" fillId="6" borderId="0" xfId="0" applyNumberFormat="1" applyFont="1" applyFill="1"/>
    <xf numFmtId="174" fontId="23" fillId="6" borderId="29" xfId="0" applyNumberFormat="1" applyFont="1" applyFill="1" applyBorder="1" applyAlignment="1">
      <alignment horizontal="center"/>
    </xf>
    <xf numFmtId="174" fontId="23" fillId="6" borderId="0" xfId="0" applyNumberFormat="1" applyFont="1" applyFill="1" applyAlignment="1">
      <alignment horizontal="center"/>
    </xf>
    <xf numFmtId="174" fontId="23" fillId="6" borderId="30" xfId="0" applyNumberFormat="1" applyFont="1" applyFill="1" applyBorder="1" applyAlignment="1">
      <alignment horizontal="center"/>
    </xf>
    <xf numFmtId="2" fontId="65" fillId="7" borderId="0" xfId="0" applyNumberFormat="1" applyFont="1" applyFill="1"/>
    <xf numFmtId="166" fontId="65" fillId="7" borderId="0" xfId="2" applyNumberFormat="1" applyFont="1" applyFill="1" applyBorder="1" applyProtection="1"/>
    <xf numFmtId="166" fontId="23" fillId="2" borderId="2" xfId="2" applyNumberFormat="1" applyFont="1" applyFill="1" applyBorder="1" applyProtection="1">
      <protection locked="0"/>
    </xf>
    <xf numFmtId="166" fontId="23" fillId="2" borderId="47" xfId="2" applyNumberFormat="1" applyFont="1" applyFill="1" applyBorder="1" applyProtection="1">
      <protection locked="0"/>
    </xf>
    <xf numFmtId="166" fontId="23" fillId="2" borderId="16" xfId="2" applyNumberFormat="1" applyFont="1" applyFill="1" applyBorder="1" applyProtection="1">
      <protection locked="0"/>
    </xf>
    <xf numFmtId="165" fontId="23" fillId="2" borderId="29" xfId="2" applyNumberFormat="1" applyFont="1" applyFill="1" applyBorder="1" applyProtection="1">
      <protection locked="0"/>
    </xf>
    <xf numFmtId="165" fontId="23" fillId="2" borderId="0" xfId="2" applyNumberFormat="1" applyFont="1" applyFill="1" applyBorder="1" applyProtection="1">
      <protection locked="0"/>
    </xf>
    <xf numFmtId="10" fontId="23" fillId="2" borderId="30" xfId="2" applyNumberFormat="1" applyFont="1" applyFill="1" applyBorder="1" applyProtection="1">
      <protection locked="0"/>
    </xf>
    <xf numFmtId="0" fontId="23" fillId="2" borderId="0" xfId="0" applyFont="1" applyFill="1" applyAlignment="1" applyProtection="1">
      <alignment horizontal="center"/>
      <protection locked="0"/>
    </xf>
    <xf numFmtId="0" fontId="23" fillId="2" borderId="30" xfId="0" applyFont="1" applyFill="1" applyBorder="1" applyAlignment="1" applyProtection="1">
      <alignment horizontal="center"/>
      <protection locked="0"/>
    </xf>
    <xf numFmtId="3" fontId="1" fillId="6" borderId="0" xfId="0" applyNumberFormat="1" applyFont="1" applyFill="1" applyAlignment="1">
      <alignment horizontal="center" wrapText="1"/>
    </xf>
    <xf numFmtId="173" fontId="0" fillId="6" borderId="0" xfId="2" applyNumberFormat="1" applyFont="1" applyFill="1" applyBorder="1"/>
    <xf numFmtId="172" fontId="0" fillId="6" borderId="0" xfId="0" applyNumberFormat="1" applyFill="1" applyAlignment="1">
      <alignment horizontal="center"/>
    </xf>
    <xf numFmtId="172" fontId="0" fillId="6" borderId="0" xfId="0" applyNumberFormat="1" applyFill="1" applyAlignment="1">
      <alignment horizontal="center" wrapText="1"/>
    </xf>
    <xf numFmtId="172" fontId="0" fillId="6" borderId="0" xfId="2" applyNumberFormat="1" applyFont="1" applyFill="1"/>
    <xf numFmtId="3" fontId="69" fillId="7" borderId="45" xfId="2" applyNumberFormat="1" applyFont="1" applyFill="1" applyBorder="1" applyAlignment="1" applyProtection="1">
      <alignment horizontal="right"/>
    </xf>
    <xf numFmtId="3" fontId="69" fillId="7" borderId="46" xfId="2" applyNumberFormat="1" applyFont="1" applyFill="1" applyBorder="1" applyAlignment="1" applyProtection="1">
      <alignment horizontal="right"/>
    </xf>
    <xf numFmtId="3" fontId="17" fillId="6" borderId="81" xfId="2" applyNumberFormat="1" applyFont="1" applyFill="1" applyBorder="1"/>
    <xf numFmtId="3" fontId="17" fillId="6" borderId="9" xfId="2" applyNumberFormat="1" applyFont="1" applyFill="1" applyBorder="1"/>
    <xf numFmtId="3" fontId="17" fillId="6" borderId="50" xfId="2" applyNumberFormat="1" applyFont="1" applyFill="1" applyBorder="1"/>
    <xf numFmtId="3" fontId="69" fillId="7" borderId="83" xfId="2" applyNumberFormat="1" applyFont="1" applyFill="1" applyBorder="1" applyAlignment="1" applyProtection="1">
      <alignment horizontal="right"/>
    </xf>
    <xf numFmtId="3" fontId="29" fillId="2" borderId="10" xfId="2" applyNumberFormat="1" applyFont="1" applyFill="1" applyBorder="1" applyProtection="1"/>
    <xf numFmtId="3" fontId="29" fillId="2" borderId="4" xfId="2" applyNumberFormat="1" applyFont="1" applyFill="1" applyBorder="1"/>
    <xf numFmtId="3" fontId="29" fillId="2" borderId="6" xfId="2" applyNumberFormat="1" applyFont="1" applyFill="1" applyBorder="1"/>
    <xf numFmtId="3" fontId="29" fillId="2" borderId="50" xfId="2" applyNumberFormat="1" applyFont="1" applyFill="1" applyBorder="1"/>
    <xf numFmtId="10" fontId="29" fillId="2" borderId="4" xfId="2" applyNumberFormat="1" applyFont="1" applyFill="1" applyBorder="1"/>
    <xf numFmtId="10" fontId="29" fillId="2" borderId="9" xfId="2" applyNumberFormat="1" applyFont="1" applyFill="1" applyBorder="1"/>
    <xf numFmtId="10" fontId="29" fillId="2" borderId="10" xfId="2" applyNumberFormat="1" applyFont="1" applyFill="1" applyBorder="1"/>
    <xf numFmtId="3" fontId="42" fillId="7" borderId="81" xfId="2" applyNumberFormat="1" applyFont="1" applyFill="1" applyBorder="1"/>
    <xf numFmtId="3" fontId="42" fillId="7" borderId="50" xfId="2" applyNumberFormat="1" applyFont="1" applyFill="1" applyBorder="1"/>
    <xf numFmtId="3" fontId="65" fillId="2" borderId="5" xfId="2" applyNumberFormat="1" applyFont="1" applyFill="1" applyBorder="1"/>
    <xf numFmtId="3" fontId="65" fillId="2" borderId="30" xfId="2" applyNumberFormat="1" applyFont="1" applyFill="1" applyBorder="1"/>
    <xf numFmtId="43" fontId="23" fillId="2" borderId="29" xfId="2" applyFont="1" applyFill="1" applyBorder="1" applyProtection="1">
      <protection locked="0"/>
    </xf>
    <xf numFmtId="43" fontId="23" fillId="2" borderId="0" xfId="2" applyFont="1" applyFill="1" applyBorder="1" applyProtection="1">
      <protection locked="0"/>
    </xf>
    <xf numFmtId="43" fontId="23" fillId="2" borderId="30" xfId="2" applyFont="1" applyFill="1" applyBorder="1" applyProtection="1">
      <protection locked="0"/>
    </xf>
    <xf numFmtId="3" fontId="69" fillId="7" borderId="80" xfId="2" applyNumberFormat="1" applyFont="1" applyFill="1" applyBorder="1" applyAlignment="1" applyProtection="1">
      <alignment horizontal="right"/>
    </xf>
    <xf numFmtId="0" fontId="33" fillId="6" borderId="0" xfId="8" applyFill="1"/>
    <xf numFmtId="0" fontId="43" fillId="6" borderId="0" xfId="0" applyFont="1" applyFill="1" applyAlignment="1">
      <alignment wrapText="1"/>
    </xf>
    <xf numFmtId="0" fontId="109" fillId="6" borderId="0" xfId="0" applyFont="1" applyFill="1"/>
    <xf numFmtId="0" fontId="111" fillId="6" borderId="14" xfId="0" applyFont="1" applyFill="1" applyBorder="1"/>
    <xf numFmtId="0" fontId="112" fillId="6" borderId="14" xfId="0" applyFont="1" applyFill="1" applyBorder="1"/>
    <xf numFmtId="14" fontId="112" fillId="6" borderId="14" xfId="0" applyNumberFormat="1" applyFont="1" applyFill="1" applyBorder="1"/>
    <xf numFmtId="0" fontId="113" fillId="3" borderId="32" xfId="0" applyFont="1" applyFill="1" applyBorder="1" applyAlignment="1">
      <alignment horizontal="center" vertical="center" wrapText="1"/>
    </xf>
    <xf numFmtId="0" fontId="113" fillId="3" borderId="32" xfId="0" applyFont="1" applyFill="1" applyBorder="1" applyAlignment="1">
      <alignment horizontal="left" vertical="center" wrapText="1"/>
    </xf>
    <xf numFmtId="0" fontId="113" fillId="3" borderId="31" xfId="0" applyFont="1" applyFill="1" applyBorder="1" applyAlignment="1">
      <alignment horizontal="center" vertical="center" wrapText="1"/>
    </xf>
    <xf numFmtId="49" fontId="113" fillId="3" borderId="32" xfId="0" applyNumberFormat="1" applyFont="1" applyFill="1" applyBorder="1" applyAlignment="1">
      <alignment horizontal="center" vertical="center" wrapText="1"/>
    </xf>
    <xf numFmtId="49" fontId="113" fillId="3" borderId="27" xfId="0" applyNumberFormat="1" applyFont="1" applyFill="1" applyBorder="1" applyAlignment="1">
      <alignment horizontal="center" vertical="center" wrapText="1"/>
    </xf>
    <xf numFmtId="0" fontId="113" fillId="3" borderId="27" xfId="0" applyFont="1" applyFill="1" applyBorder="1" applyAlignment="1">
      <alignment horizontal="center" vertical="center" wrapText="1"/>
    </xf>
    <xf numFmtId="0" fontId="113" fillId="3" borderId="19" xfId="0" applyFont="1" applyFill="1" applyBorder="1" applyAlignment="1">
      <alignment horizontal="center" vertical="center" wrapText="1"/>
    </xf>
    <xf numFmtId="0" fontId="114" fillId="14" borderId="19" xfId="0" applyFont="1" applyFill="1" applyBorder="1" applyAlignment="1">
      <alignment horizontal="center" vertical="center" wrapText="1"/>
    </xf>
    <xf numFmtId="0" fontId="113" fillId="3" borderId="20" xfId="0" applyFont="1" applyFill="1" applyBorder="1" applyAlignment="1">
      <alignment horizontal="center" vertical="center" wrapText="1"/>
    </xf>
    <xf numFmtId="0" fontId="115" fillId="6" borderId="0" xfId="0" applyFont="1" applyFill="1" applyAlignment="1">
      <alignment horizontal="center" vertical="center" wrapText="1"/>
    </xf>
    <xf numFmtId="3" fontId="104" fillId="6" borderId="0" xfId="2" applyNumberFormat="1" applyFont="1" applyFill="1" applyBorder="1"/>
    <xf numFmtId="49" fontId="104" fillId="2" borderId="30" xfId="0" applyNumberFormat="1" applyFont="1" applyFill="1" applyBorder="1" applyProtection="1">
      <protection locked="0"/>
    </xf>
    <xf numFmtId="0" fontId="110" fillId="6" borderId="0" xfId="0" applyFont="1" applyFill="1" applyAlignment="1">
      <alignment horizontal="left" vertical="top" wrapText="1"/>
    </xf>
    <xf numFmtId="0" fontId="18" fillId="6" borderId="0" xfId="0" applyFont="1" applyFill="1" applyAlignment="1">
      <alignment horizontal="left" vertical="center" wrapText="1"/>
    </xf>
    <xf numFmtId="0" fontId="24" fillId="8" borderId="18" xfId="6" applyFont="1" applyFill="1" applyBorder="1" applyAlignment="1">
      <alignment horizontal="center" vertical="center"/>
    </xf>
    <xf numFmtId="0" fontId="24" fillId="8" borderId="20" xfId="6" applyFont="1" applyFill="1" applyBorder="1" applyAlignment="1">
      <alignment horizontal="center" vertical="center"/>
    </xf>
    <xf numFmtId="0" fontId="24" fillId="8" borderId="21" xfId="6" applyFont="1" applyFill="1" applyBorder="1" applyAlignment="1">
      <alignment horizontal="center" vertical="center"/>
    </xf>
    <xf numFmtId="0" fontId="24" fillId="8" borderId="23" xfId="6" applyFont="1" applyFill="1" applyBorder="1" applyAlignment="1">
      <alignment horizontal="center" vertical="center"/>
    </xf>
    <xf numFmtId="0" fontId="27" fillId="6" borderId="14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left" wrapText="1"/>
    </xf>
    <xf numFmtId="0" fontId="17" fillId="7" borderId="14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 vertical="center" wrapText="1"/>
    </xf>
    <xf numFmtId="0" fontId="27" fillId="6" borderId="14" xfId="0" applyFont="1" applyFill="1" applyBorder="1" applyAlignment="1">
      <alignment horizontal="left"/>
    </xf>
    <xf numFmtId="0" fontId="17" fillId="6" borderId="14" xfId="0" applyFont="1" applyFill="1" applyBorder="1" applyAlignment="1">
      <alignment horizontal="center"/>
    </xf>
    <xf numFmtId="0" fontId="27" fillId="6" borderId="14" xfId="0" applyFont="1" applyFill="1" applyBorder="1" applyAlignment="1">
      <alignment horizontal="center" vertical="center" wrapText="1"/>
    </xf>
    <xf numFmtId="0" fontId="52" fillId="8" borderId="25" xfId="6" applyFont="1" applyFill="1" applyBorder="1" applyAlignment="1">
      <alignment horizontal="center" vertical="center" wrapText="1"/>
    </xf>
    <xf numFmtId="0" fontId="52" fillId="8" borderId="48" xfId="6" applyFont="1" applyFill="1" applyBorder="1" applyAlignment="1">
      <alignment horizontal="center" vertical="center" wrapText="1"/>
    </xf>
    <xf numFmtId="0" fontId="52" fillId="3" borderId="45" xfId="6" applyFont="1" applyFill="1" applyBorder="1" applyAlignment="1">
      <alignment horizontal="center" vertical="center" wrapText="1"/>
    </xf>
    <xf numFmtId="0" fontId="52" fillId="3" borderId="46" xfId="6" applyFont="1" applyFill="1" applyBorder="1" applyAlignment="1">
      <alignment horizontal="center" vertical="center" wrapText="1"/>
    </xf>
    <xf numFmtId="0" fontId="52" fillId="3" borderId="81" xfId="6" applyFont="1" applyFill="1" applyBorder="1" applyAlignment="1">
      <alignment horizontal="center" vertical="center" wrapText="1"/>
    </xf>
    <xf numFmtId="0" fontId="52" fillId="3" borderId="25" xfId="6" applyFont="1" applyFill="1" applyBorder="1" applyAlignment="1">
      <alignment horizontal="center" vertical="center" wrapText="1"/>
    </xf>
    <xf numFmtId="0" fontId="52" fillId="3" borderId="48" xfId="6" applyFont="1" applyFill="1" applyBorder="1" applyAlignment="1">
      <alignment horizontal="center" vertical="center" wrapText="1"/>
    </xf>
    <xf numFmtId="0" fontId="52" fillId="3" borderId="42" xfId="6" applyFont="1" applyFill="1" applyBorder="1" applyAlignment="1">
      <alignment horizontal="center" vertical="center" wrapText="1"/>
    </xf>
    <xf numFmtId="0" fontId="52" fillId="3" borderId="37" xfId="6" applyFont="1" applyFill="1" applyBorder="1" applyAlignment="1">
      <alignment horizontal="center" vertical="center" wrapText="1"/>
    </xf>
    <xf numFmtId="0" fontId="52" fillId="3" borderId="34" xfId="6" applyFont="1" applyFill="1" applyBorder="1" applyAlignment="1">
      <alignment horizontal="center" vertical="center" wrapText="1"/>
    </xf>
    <xf numFmtId="0" fontId="52" fillId="3" borderId="35" xfId="6" applyFont="1" applyFill="1" applyBorder="1" applyAlignment="1">
      <alignment horizontal="center" vertical="center" wrapText="1"/>
    </xf>
    <xf numFmtId="0" fontId="52" fillId="8" borderId="81" xfId="6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/>
    </xf>
    <xf numFmtId="0" fontId="17" fillId="8" borderId="17" xfId="0" applyFont="1" applyFill="1" applyBorder="1" applyAlignment="1">
      <alignment horizontal="center"/>
    </xf>
    <xf numFmtId="0" fontId="17" fillId="8" borderId="25" xfId="0" applyFont="1" applyFill="1" applyBorder="1" applyAlignment="1">
      <alignment horizontal="center"/>
    </xf>
    <xf numFmtId="0" fontId="17" fillId="8" borderId="12" xfId="0" applyFont="1" applyFill="1" applyBorder="1" applyAlignment="1">
      <alignment horizontal="center"/>
    </xf>
    <xf numFmtId="0" fontId="17" fillId="8" borderId="13" xfId="0" applyFont="1" applyFill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53" fillId="8" borderId="14" xfId="0" applyFont="1" applyFill="1" applyBorder="1" applyAlignment="1">
      <alignment horizontal="center"/>
    </xf>
    <xf numFmtId="0" fontId="17" fillId="6" borderId="14" xfId="6" applyFont="1" applyFill="1" applyBorder="1" applyAlignment="1">
      <alignment horizontal="center"/>
    </xf>
    <xf numFmtId="0" fontId="52" fillId="8" borderId="47" xfId="6" applyFont="1" applyFill="1" applyBorder="1" applyAlignment="1">
      <alignment horizontal="left"/>
    </xf>
    <xf numFmtId="0" fontId="52" fillId="8" borderId="7" xfId="6" applyFont="1" applyFill="1" applyBorder="1" applyAlignment="1">
      <alignment horizontal="center" vertical="center" wrapText="1"/>
    </xf>
    <xf numFmtId="0" fontId="52" fillId="8" borderId="5" xfId="6" applyFont="1" applyFill="1" applyBorder="1" applyAlignment="1">
      <alignment horizontal="center" vertical="center" wrapText="1"/>
    </xf>
    <xf numFmtId="0" fontId="52" fillId="8" borderId="6" xfId="6" applyFont="1" applyFill="1" applyBorder="1" applyAlignment="1">
      <alignment horizontal="center" vertical="center" wrapText="1"/>
    </xf>
    <xf numFmtId="0" fontId="52" fillId="3" borderId="7" xfId="6" applyFont="1" applyFill="1" applyBorder="1" applyAlignment="1">
      <alignment horizontal="center" vertical="center" wrapText="1"/>
    </xf>
    <xf numFmtId="0" fontId="52" fillId="3" borderId="5" xfId="6" applyFont="1" applyFill="1" applyBorder="1" applyAlignment="1">
      <alignment horizontal="center" vertical="center" wrapText="1"/>
    </xf>
    <xf numFmtId="0" fontId="52" fillId="3" borderId="6" xfId="6" applyFont="1" applyFill="1" applyBorder="1" applyAlignment="1">
      <alignment horizontal="center" vertical="center" wrapText="1"/>
    </xf>
    <xf numFmtId="0" fontId="52" fillId="8" borderId="0" xfId="6" applyFont="1" applyFill="1" applyAlignment="1">
      <alignment horizontal="left"/>
    </xf>
    <xf numFmtId="0" fontId="55" fillId="8" borderId="11" xfId="6" applyFont="1" applyFill="1" applyBorder="1" applyAlignment="1">
      <alignment horizontal="right"/>
    </xf>
    <xf numFmtId="0" fontId="55" fillId="8" borderId="12" xfId="6" applyFont="1" applyFill="1" applyBorder="1" applyAlignment="1">
      <alignment horizontal="right"/>
    </xf>
    <xf numFmtId="0" fontId="52" fillId="8" borderId="1" xfId="6" applyFont="1" applyFill="1" applyBorder="1" applyAlignment="1">
      <alignment horizontal="right"/>
    </xf>
    <xf numFmtId="0" fontId="52" fillId="8" borderId="0" xfId="6" applyFont="1" applyFill="1" applyAlignment="1">
      <alignment horizontal="right"/>
    </xf>
    <xf numFmtId="0" fontId="52" fillId="8" borderId="1" xfId="6" applyFont="1" applyFill="1" applyBorder="1" applyAlignment="1">
      <alignment horizontal="left"/>
    </xf>
    <xf numFmtId="0" fontId="37" fillId="7" borderId="31" xfId="0" applyFont="1" applyFill="1" applyBorder="1" applyAlignment="1">
      <alignment horizontal="center" vertical="center" wrapText="1"/>
    </xf>
    <xf numFmtId="0" fontId="37" fillId="7" borderId="32" xfId="0" applyFont="1" applyFill="1" applyBorder="1" applyAlignment="1">
      <alignment horizontal="center" vertical="center" wrapText="1"/>
    </xf>
    <xf numFmtId="0" fontId="37" fillId="7" borderId="27" xfId="0" applyFont="1" applyFill="1" applyBorder="1" applyAlignment="1">
      <alignment horizontal="center" vertical="center" wrapText="1"/>
    </xf>
    <xf numFmtId="0" fontId="48" fillId="4" borderId="31" xfId="0" applyFont="1" applyFill="1" applyBorder="1" applyAlignment="1">
      <alignment horizontal="center" vertical="center"/>
    </xf>
    <xf numFmtId="0" fontId="48" fillId="4" borderId="32" xfId="0" applyFont="1" applyFill="1" applyBorder="1" applyAlignment="1">
      <alignment horizontal="center" vertical="center"/>
    </xf>
    <xf numFmtId="0" fontId="48" fillId="4" borderId="27" xfId="0" applyFont="1" applyFill="1" applyBorder="1" applyAlignment="1">
      <alignment horizontal="center" vertical="center"/>
    </xf>
    <xf numFmtId="0" fontId="37" fillId="7" borderId="19" xfId="0" applyFont="1" applyFill="1" applyBorder="1" applyAlignment="1">
      <alignment horizontal="left" vertical="center" wrapText="1"/>
    </xf>
    <xf numFmtId="0" fontId="37" fillId="7" borderId="20" xfId="0" applyFont="1" applyFill="1" applyBorder="1" applyAlignment="1">
      <alignment horizontal="left" vertical="center" wrapText="1"/>
    </xf>
    <xf numFmtId="1" fontId="48" fillId="4" borderId="31" xfId="1" applyNumberFormat="1" applyFont="1" applyFill="1" applyBorder="1" applyAlignment="1" applyProtection="1">
      <alignment horizontal="center" vertical="center" wrapText="1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1" fontId="48" fillId="4" borderId="51" xfId="1" applyNumberFormat="1" applyFont="1" applyFill="1" applyBorder="1" applyAlignment="1" applyProtection="1">
      <alignment horizontal="center" vertical="center" wrapText="1"/>
    </xf>
    <xf numFmtId="1" fontId="48" fillId="4" borderId="52" xfId="1" applyNumberFormat="1" applyFont="1" applyFill="1" applyBorder="1" applyAlignment="1" applyProtection="1">
      <alignment horizontal="center" vertical="center" wrapText="1"/>
    </xf>
    <xf numFmtId="0" fontId="63" fillId="3" borderId="19" xfId="0" applyFont="1" applyFill="1" applyBorder="1" applyAlignment="1">
      <alignment horizontal="center" vertical="center"/>
    </xf>
    <xf numFmtId="0" fontId="63" fillId="3" borderId="20" xfId="0" applyFont="1" applyFill="1" applyBorder="1" applyAlignment="1">
      <alignment horizontal="center" vertical="center"/>
    </xf>
    <xf numFmtId="9" fontId="48" fillId="4" borderId="31" xfId="1" applyFont="1" applyFill="1" applyBorder="1" applyAlignment="1" applyProtection="1">
      <alignment horizontal="center" vertical="center" wrapText="1"/>
    </xf>
    <xf numFmtId="9" fontId="48" fillId="4" borderId="32" xfId="1" applyFont="1" applyFill="1" applyBorder="1" applyAlignment="1" applyProtection="1">
      <alignment horizontal="center" vertical="center" wrapText="1"/>
    </xf>
    <xf numFmtId="9" fontId="48" fillId="4" borderId="27" xfId="1" applyFont="1" applyFill="1" applyBorder="1" applyAlignment="1" applyProtection="1">
      <alignment horizontal="center" vertical="center" wrapText="1"/>
    </xf>
    <xf numFmtId="0" fontId="83" fillId="14" borderId="19" xfId="0" applyFont="1" applyFill="1" applyBorder="1" applyAlignment="1">
      <alignment horizontal="center" vertical="center"/>
    </xf>
    <xf numFmtId="0" fontId="83" fillId="14" borderId="77" xfId="0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0" fontId="46" fillId="4" borderId="41" xfId="0" applyFont="1" applyFill="1" applyBorder="1" applyAlignment="1">
      <alignment horizontal="center" vertical="center"/>
    </xf>
    <xf numFmtId="0" fontId="46" fillId="4" borderId="76" xfId="0" applyFont="1" applyFill="1" applyBorder="1" applyAlignment="1">
      <alignment horizontal="center" vertical="center"/>
    </xf>
    <xf numFmtId="0" fontId="46" fillId="4" borderId="53" xfId="0" applyFont="1" applyFill="1" applyBorder="1" applyAlignment="1">
      <alignment horizontal="center" vertical="center"/>
    </xf>
    <xf numFmtId="0" fontId="107" fillId="4" borderId="57" xfId="0" applyFont="1" applyFill="1" applyBorder="1" applyAlignment="1">
      <alignment horizontal="center" vertical="center" wrapText="1"/>
    </xf>
    <xf numFmtId="0" fontId="107" fillId="4" borderId="49" xfId="0" applyFont="1" applyFill="1" applyBorder="1" applyAlignment="1">
      <alignment horizontal="center" vertical="center"/>
    </xf>
    <xf numFmtId="0" fontId="107" fillId="4" borderId="58" xfId="0" applyFont="1" applyFill="1" applyBorder="1" applyAlignment="1">
      <alignment horizontal="center" vertical="center"/>
    </xf>
    <xf numFmtId="0" fontId="64" fillId="4" borderId="31" xfId="0" applyFont="1" applyFill="1" applyBorder="1" applyAlignment="1">
      <alignment horizontal="center" vertical="center" wrapText="1"/>
    </xf>
    <xf numFmtId="0" fontId="64" fillId="4" borderId="32" xfId="0" applyFont="1" applyFill="1" applyBorder="1" applyAlignment="1">
      <alignment horizontal="center" vertical="center"/>
    </xf>
    <xf numFmtId="0" fontId="64" fillId="4" borderId="19" xfId="0" applyFont="1" applyFill="1" applyBorder="1" applyAlignment="1">
      <alignment horizontal="center" vertical="center"/>
    </xf>
    <xf numFmtId="0" fontId="46" fillId="4" borderId="18" xfId="0" applyFont="1" applyFill="1" applyBorder="1" applyAlignment="1">
      <alignment horizontal="center" vertical="center"/>
    </xf>
    <xf numFmtId="0" fontId="46" fillId="4" borderId="19" xfId="0" applyFont="1" applyFill="1" applyBorder="1" applyAlignment="1">
      <alignment horizontal="center" vertical="center"/>
    </xf>
    <xf numFmtId="0" fontId="46" fillId="4" borderId="57" xfId="0" applyFont="1" applyFill="1" applyBorder="1" applyAlignment="1">
      <alignment horizontal="center" vertical="center"/>
    </xf>
    <xf numFmtId="0" fontId="46" fillId="4" borderId="49" xfId="0" applyFont="1" applyFill="1" applyBorder="1" applyAlignment="1">
      <alignment horizontal="center" vertical="center"/>
    </xf>
    <xf numFmtId="0" fontId="46" fillId="4" borderId="58" xfId="0" applyFont="1" applyFill="1" applyBorder="1" applyAlignment="1">
      <alignment horizontal="center" vertical="center"/>
    </xf>
    <xf numFmtId="3" fontId="67" fillId="6" borderId="7" xfId="0" applyNumberFormat="1" applyFont="1" applyFill="1" applyBorder="1" applyAlignment="1">
      <alignment horizontal="center"/>
    </xf>
    <xf numFmtId="3" fontId="67" fillId="6" borderId="5" xfId="0" applyNumberFormat="1" applyFont="1" applyFill="1" applyBorder="1" applyAlignment="1">
      <alignment horizontal="center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/>
    </xf>
    <xf numFmtId="0" fontId="46" fillId="4" borderId="32" xfId="0" applyFont="1" applyFill="1" applyBorder="1" applyAlignment="1">
      <alignment horizontal="center" vertical="center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51" xfId="0" applyNumberFormat="1" applyFont="1" applyFill="1" applyBorder="1" applyAlignment="1" applyProtection="1">
      <alignment horizontal="center" vertical="center"/>
      <protection locked="0"/>
    </xf>
    <xf numFmtId="3" fontId="67" fillId="6" borderId="47" xfId="0" applyNumberFormat="1" applyFont="1" applyFill="1" applyBorder="1" applyAlignment="1">
      <alignment horizontal="center"/>
    </xf>
    <xf numFmtId="3" fontId="67" fillId="6" borderId="9" xfId="0" applyNumberFormat="1" applyFont="1" applyFill="1" applyBorder="1" applyAlignment="1">
      <alignment horizontal="center"/>
    </xf>
    <xf numFmtId="3" fontId="67" fillId="6" borderId="1" xfId="0" applyNumberFormat="1" applyFont="1" applyFill="1" applyBorder="1" applyAlignment="1">
      <alignment horizontal="center"/>
    </xf>
    <xf numFmtId="3" fontId="67" fillId="6" borderId="55" xfId="0" applyNumberFormat="1" applyFont="1" applyFill="1" applyBorder="1" applyAlignment="1">
      <alignment horizontal="center"/>
    </xf>
    <xf numFmtId="3" fontId="67" fillId="6" borderId="56" xfId="0" applyNumberFormat="1" applyFont="1" applyFill="1" applyBorder="1" applyAlignment="1">
      <alignment horizontal="center"/>
    </xf>
    <xf numFmtId="3" fontId="67" fillId="6" borderId="43" xfId="0" applyNumberFormat="1" applyFont="1" applyFill="1" applyBorder="1" applyAlignment="1">
      <alignment horizontal="center"/>
    </xf>
    <xf numFmtId="3" fontId="67" fillId="6" borderId="44" xfId="0" applyNumberFormat="1" applyFont="1" applyFill="1" applyBorder="1" applyAlignment="1">
      <alignment horizontal="center"/>
    </xf>
    <xf numFmtId="3" fontId="84" fillId="7" borderId="21" xfId="0" applyNumberFormat="1" applyFont="1" applyFill="1" applyBorder="1" applyAlignment="1" applyProtection="1">
      <alignment horizontal="center" wrapText="1"/>
      <protection locked="0"/>
    </xf>
    <xf numFmtId="3" fontId="84" fillId="7" borderId="23" xfId="0" applyNumberFormat="1" applyFont="1" applyFill="1" applyBorder="1" applyAlignment="1" applyProtection="1">
      <alignment horizontal="center" wrapText="1"/>
      <protection locked="0"/>
    </xf>
    <xf numFmtId="3" fontId="34" fillId="8" borderId="2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3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23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19" xfId="0" applyNumberFormat="1" applyFont="1" applyFill="1" applyBorder="1" applyAlignment="1" applyProtection="1">
      <alignment horizontal="center" vertical="center"/>
      <protection locked="0"/>
    </xf>
    <xf numFmtId="3" fontId="34" fillId="8" borderId="0" xfId="0" applyNumberFormat="1" applyFont="1" applyFill="1" applyAlignment="1" applyProtection="1">
      <alignment horizontal="center" vertical="center"/>
      <protection locked="0"/>
    </xf>
    <xf numFmtId="3" fontId="34" fillId="8" borderId="22" xfId="0" applyNumberFormat="1" applyFont="1" applyFill="1" applyBorder="1" applyAlignment="1" applyProtection="1">
      <alignment horizontal="center" vertical="center"/>
      <protection locked="0"/>
    </xf>
    <xf numFmtId="0" fontId="39" fillId="4" borderId="15" xfId="0" applyFont="1" applyFill="1" applyBorder="1" applyAlignment="1">
      <alignment horizontal="center" vertical="center"/>
    </xf>
    <xf numFmtId="0" fontId="107" fillId="4" borderId="21" xfId="0" applyFont="1" applyFill="1" applyBorder="1" applyAlignment="1">
      <alignment horizontal="center" vertical="center" wrapText="1"/>
    </xf>
    <xf numFmtId="0" fontId="107" fillId="4" borderId="22" xfId="0" applyFont="1" applyFill="1" applyBorder="1" applyAlignment="1">
      <alignment horizontal="center" vertical="center"/>
    </xf>
    <xf numFmtId="0" fontId="107" fillId="4" borderId="0" xfId="0" applyFont="1" applyFill="1" applyAlignment="1">
      <alignment horizontal="center" vertical="center" wrapText="1"/>
    </xf>
    <xf numFmtId="0" fontId="107" fillId="4" borderId="0" xfId="0" applyFont="1" applyFill="1" applyAlignment="1">
      <alignment horizontal="center" vertical="center"/>
    </xf>
    <xf numFmtId="0" fontId="107" fillId="4" borderId="30" xfId="0" applyFont="1" applyFill="1" applyBorder="1" applyAlignment="1">
      <alignment horizontal="center" vertical="center"/>
    </xf>
    <xf numFmtId="0" fontId="46" fillId="4" borderId="31" xfId="0" applyFont="1" applyFill="1" applyBorder="1" applyAlignment="1">
      <alignment horizontal="center" vertical="center"/>
    </xf>
    <xf numFmtId="0" fontId="46" fillId="4" borderId="27" xfId="0" applyFont="1" applyFill="1" applyBorder="1" applyAlignment="1">
      <alignment horizontal="center" vertical="center"/>
    </xf>
    <xf numFmtId="0" fontId="64" fillId="4" borderId="29" xfId="0" applyFont="1" applyFill="1" applyBorder="1" applyAlignment="1">
      <alignment horizontal="center" vertical="center"/>
    </xf>
    <xf numFmtId="0" fontId="64" fillId="4" borderId="0" xfId="0" applyFont="1" applyFill="1" applyAlignment="1">
      <alignment horizontal="center" vertical="center"/>
    </xf>
    <xf numFmtId="0" fontId="64" fillId="4" borderId="21" xfId="0" applyFont="1" applyFill="1" applyBorder="1" applyAlignment="1">
      <alignment horizontal="center" vertical="center"/>
    </xf>
    <xf numFmtId="0" fontId="64" fillId="4" borderId="22" xfId="0" applyFont="1" applyFill="1" applyBorder="1" applyAlignment="1">
      <alignment horizontal="center" vertical="center"/>
    </xf>
    <xf numFmtId="3" fontId="66" fillId="8" borderId="16" xfId="0" applyNumberFormat="1" applyFont="1" applyFill="1" applyBorder="1" applyAlignment="1">
      <alignment horizontal="center" vertical="center" wrapText="1"/>
    </xf>
    <xf numFmtId="3" fontId="66" fillId="8" borderId="28" xfId="0" applyNumberFormat="1" applyFont="1" applyFill="1" applyBorder="1" applyAlignment="1">
      <alignment horizontal="center" vertical="center" wrapText="1"/>
    </xf>
    <xf numFmtId="3" fontId="66" fillId="8" borderId="17" xfId="0" applyNumberFormat="1" applyFont="1" applyFill="1" applyBorder="1" applyAlignment="1">
      <alignment horizontal="center" vertical="center" wrapText="1"/>
    </xf>
    <xf numFmtId="3" fontId="67" fillId="6" borderId="29" xfId="0" applyNumberFormat="1" applyFont="1" applyFill="1" applyBorder="1" applyAlignment="1">
      <alignment horizontal="center" wrapText="1"/>
    </xf>
    <xf numFmtId="3" fontId="67" fillId="6" borderId="21" xfId="0" applyNumberFormat="1" applyFont="1" applyFill="1" applyBorder="1" applyAlignment="1">
      <alignment horizontal="center" wrapText="1"/>
    </xf>
    <xf numFmtId="1" fontId="20" fillId="7" borderId="31" xfId="1" applyNumberFormat="1" applyFont="1" applyFill="1" applyBorder="1" applyAlignment="1" applyProtection="1">
      <alignment horizontal="center" vertical="center"/>
    </xf>
    <xf numFmtId="1" fontId="20" fillId="7" borderId="27" xfId="1" applyNumberFormat="1" applyFont="1" applyFill="1" applyBorder="1" applyAlignment="1" applyProtection="1">
      <alignment horizontal="center" vertical="center"/>
    </xf>
    <xf numFmtId="9" fontId="48" fillId="4" borderId="15" xfId="1" applyFont="1" applyFill="1" applyBorder="1" applyAlignment="1" applyProtection="1">
      <alignment horizontal="center" vertical="center" wrapText="1"/>
    </xf>
    <xf numFmtId="0" fontId="49" fillId="3" borderId="19" xfId="0" applyFont="1" applyFill="1" applyBorder="1" applyAlignment="1">
      <alignment horizontal="center" vertical="center"/>
    </xf>
    <xf numFmtId="0" fontId="49" fillId="3" borderId="20" xfId="0" applyFont="1" applyFill="1" applyBorder="1" applyAlignment="1">
      <alignment horizontal="center" vertical="center"/>
    </xf>
    <xf numFmtId="0" fontId="49" fillId="3" borderId="76" xfId="0" applyFont="1" applyFill="1" applyBorder="1" applyAlignment="1">
      <alignment horizontal="center" vertical="center"/>
    </xf>
    <xf numFmtId="0" fontId="49" fillId="3" borderId="53" xfId="0" applyFont="1" applyFill="1" applyBorder="1" applyAlignment="1">
      <alignment horizontal="center" vertical="center"/>
    </xf>
    <xf numFmtId="3" fontId="20" fillId="8" borderId="11" xfId="0" applyNumberFormat="1" applyFont="1" applyFill="1" applyBorder="1" applyAlignment="1" applyProtection="1">
      <alignment horizontal="center" vertical="center"/>
      <protection locked="0"/>
    </xf>
    <xf numFmtId="3" fontId="20" fillId="8" borderId="12" xfId="0" applyNumberFormat="1" applyFont="1" applyFill="1" applyBorder="1" applyAlignment="1" applyProtection="1">
      <alignment horizontal="center" vertical="center"/>
      <protection locked="0"/>
    </xf>
    <xf numFmtId="3" fontId="20" fillId="8" borderId="13" xfId="0" applyNumberFormat="1" applyFont="1" applyFill="1" applyBorder="1" applyAlignment="1" applyProtection="1">
      <alignment horizontal="center" vertical="center"/>
      <protection locked="0"/>
    </xf>
    <xf numFmtId="166" fontId="64" fillId="4" borderId="16" xfId="2" applyNumberFormat="1" applyFont="1" applyFill="1" applyBorder="1" applyAlignment="1" applyProtection="1">
      <alignment horizontal="center" vertical="center"/>
    </xf>
    <xf numFmtId="166" fontId="64" fillId="4" borderId="17" xfId="2" applyNumberFormat="1" applyFont="1" applyFill="1" applyBorder="1" applyAlignment="1" applyProtection="1">
      <alignment horizontal="center" vertical="center"/>
    </xf>
    <xf numFmtId="3" fontId="65" fillId="6" borderId="7" xfId="0" applyNumberFormat="1" applyFont="1" applyFill="1" applyBorder="1" applyAlignment="1">
      <alignment horizontal="center"/>
    </xf>
    <xf numFmtId="3" fontId="65" fillId="6" borderId="5" xfId="0" applyNumberFormat="1" applyFont="1" applyFill="1" applyBorder="1" applyAlignment="1">
      <alignment horizontal="center"/>
    </xf>
    <xf numFmtId="0" fontId="64" fillId="4" borderId="31" xfId="0" applyFont="1" applyFill="1" applyBorder="1" applyAlignment="1">
      <alignment horizontal="center" vertical="center"/>
    </xf>
    <xf numFmtId="0" fontId="64" fillId="4" borderId="30" xfId="0" applyFont="1" applyFill="1" applyBorder="1" applyAlignment="1">
      <alignment horizontal="center" vertical="center"/>
    </xf>
    <xf numFmtId="0" fontId="64" fillId="4" borderId="23" xfId="0" applyFont="1" applyFill="1" applyBorder="1" applyAlignment="1">
      <alignment horizontal="center" vertical="center"/>
    </xf>
    <xf numFmtId="3" fontId="65" fillId="6" borderId="0" xfId="0" applyNumberFormat="1" applyFont="1" applyFill="1" applyAlignment="1">
      <alignment horizontal="center"/>
    </xf>
    <xf numFmtId="3" fontId="65" fillId="6" borderId="43" xfId="0" applyNumberFormat="1" applyFont="1" applyFill="1" applyBorder="1" applyAlignment="1">
      <alignment horizontal="center"/>
    </xf>
    <xf numFmtId="3" fontId="65" fillId="6" borderId="44" xfId="0" applyNumberFormat="1" applyFont="1" applyFill="1" applyBorder="1" applyAlignment="1">
      <alignment horizontal="center"/>
    </xf>
    <xf numFmtId="3" fontId="65" fillId="6" borderId="22" xfId="0" applyNumberFormat="1" applyFont="1" applyFill="1" applyBorder="1" applyAlignment="1">
      <alignment horizontal="center"/>
    </xf>
    <xf numFmtId="3" fontId="65" fillId="6" borderId="1" xfId="0" applyNumberFormat="1" applyFont="1" applyFill="1" applyBorder="1" applyAlignment="1">
      <alignment horizontal="center"/>
    </xf>
    <xf numFmtId="3" fontId="65" fillId="6" borderId="47" xfId="0" applyNumberFormat="1" applyFont="1" applyFill="1" applyBorder="1" applyAlignment="1">
      <alignment horizontal="center"/>
    </xf>
    <xf numFmtId="3" fontId="65" fillId="6" borderId="9" xfId="0" applyNumberFormat="1" applyFont="1" applyFill="1" applyBorder="1" applyAlignment="1">
      <alignment horizontal="center"/>
    </xf>
    <xf numFmtId="0" fontId="64" fillId="4" borderId="18" xfId="0" applyFont="1" applyFill="1" applyBorder="1" applyAlignment="1">
      <alignment horizontal="center" vertical="center"/>
    </xf>
    <xf numFmtId="3" fontId="65" fillId="6" borderId="29" xfId="0" applyNumberFormat="1" applyFont="1" applyFill="1" applyBorder="1" applyAlignment="1">
      <alignment horizontal="center" wrapText="1"/>
    </xf>
    <xf numFmtId="3" fontId="65" fillId="6" borderId="21" xfId="0" applyNumberFormat="1" applyFont="1" applyFill="1" applyBorder="1" applyAlignment="1">
      <alignment horizontal="center" wrapText="1"/>
    </xf>
    <xf numFmtId="3" fontId="34" fillId="8" borderId="18" xfId="0" applyNumberFormat="1" applyFont="1" applyFill="1" applyBorder="1" applyAlignment="1" applyProtection="1">
      <alignment horizontal="center" vertical="center"/>
      <protection locked="0"/>
    </xf>
    <xf numFmtId="3" fontId="34" fillId="8" borderId="29" xfId="0" applyNumberFormat="1" applyFont="1" applyFill="1" applyBorder="1" applyAlignment="1" applyProtection="1">
      <alignment horizontal="center" vertical="center"/>
      <protection locked="0"/>
    </xf>
    <xf numFmtId="3" fontId="34" fillId="8" borderId="21" xfId="0" applyNumberFormat="1" applyFont="1" applyFill="1" applyBorder="1" applyAlignment="1" applyProtection="1">
      <alignment horizontal="center" vertical="center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51" xfId="0" applyNumberFormat="1" applyFont="1" applyFill="1" applyBorder="1" applyAlignment="1" applyProtection="1">
      <alignment horizontal="center" vertical="center"/>
      <protection locked="0"/>
    </xf>
    <xf numFmtId="3" fontId="65" fillId="6" borderId="55" xfId="0" applyNumberFormat="1" applyFont="1" applyFill="1" applyBorder="1" applyAlignment="1">
      <alignment horizontal="center"/>
    </xf>
    <xf numFmtId="3" fontId="65" fillId="6" borderId="56" xfId="0" applyNumberFormat="1" applyFont="1" applyFill="1" applyBorder="1" applyAlignment="1">
      <alignment horizontal="center"/>
    </xf>
    <xf numFmtId="3" fontId="65" fillId="6" borderId="30" xfId="0" applyNumberFormat="1" applyFont="1" applyFill="1" applyBorder="1" applyAlignment="1">
      <alignment horizontal="center"/>
    </xf>
    <xf numFmtId="3" fontId="66" fillId="8" borderId="30" xfId="0" applyNumberFormat="1" applyFont="1" applyFill="1" applyBorder="1" applyAlignment="1">
      <alignment horizontal="center" vertical="center" wrapText="1"/>
    </xf>
    <xf numFmtId="3" fontId="66" fillId="8" borderId="23" xfId="0" applyNumberFormat="1" applyFont="1" applyFill="1" applyBorder="1" applyAlignment="1">
      <alignment horizontal="center" vertical="center" wrapText="1"/>
    </xf>
    <xf numFmtId="0" fontId="17" fillId="8" borderId="31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3" fillId="8" borderId="11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51" xfId="0" applyFill="1" applyBorder="1" applyAlignment="1">
      <alignment horizontal="center"/>
    </xf>
    <xf numFmtId="9" fontId="7" fillId="4" borderId="19" xfId="1" applyFont="1" applyFill="1" applyBorder="1" applyAlignment="1" applyProtection="1">
      <alignment horizontal="center"/>
    </xf>
    <xf numFmtId="9" fontId="7" fillId="4" borderId="20" xfId="1" applyFont="1" applyFill="1" applyBorder="1" applyAlignment="1" applyProtection="1">
      <alignment horizontal="center"/>
    </xf>
    <xf numFmtId="0" fontId="81" fillId="11" borderId="62" xfId="0" applyFont="1" applyFill="1" applyBorder="1" applyAlignment="1">
      <alignment horizontal="center" vertical="center"/>
    </xf>
    <xf numFmtId="0" fontId="81" fillId="11" borderId="69" xfId="0" applyFont="1" applyFill="1" applyBorder="1" applyAlignment="1">
      <alignment horizontal="center" vertical="center"/>
    </xf>
  </cellXfs>
  <cellStyles count="10">
    <cellStyle name="God" xfId="8" builtinId="26"/>
    <cellStyle name="Komma" xfId="2" builtinId="3"/>
    <cellStyle name="Normal" xfId="0" builtinId="0"/>
    <cellStyle name="Normal 1" xfId="5" xr:uid="{A3129BD1-72F2-7E4B-BD95-34DF22D59E6B}"/>
    <cellStyle name="Normal 2" xfId="7" xr:uid="{968AF74A-B2F8-174A-B7DC-967DB5B119A8}"/>
    <cellStyle name="Normal 3" xfId="6" xr:uid="{6590C4C7-90BB-2145-ABE2-8B62DF4576C9}"/>
    <cellStyle name="Normal 4" xfId="9" xr:uid="{20B9CF42-71E4-464B-B4F7-1314C770ED55}"/>
    <cellStyle name="Normal main page" xfId="4" xr:uid="{AAC5A699-7FF9-2F47-A296-116E080CEB7F}"/>
    <cellStyle name="Prosent" xfId="1" builtinId="5"/>
    <cellStyle name="Tittel" xfId="3" builtinId="15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theme="0" tint="-0.14999847407452621"/>
        </patternFill>
      </fill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border outline="0">
        <bottom style="medium">
          <color rgb="FF000000"/>
        </bottom>
      </border>
    </dxf>
    <dxf>
      <border outline="0">
        <left style="thin">
          <color rgb="FF000000"/>
        </left>
        <right style="medium">
          <color rgb="FF000000"/>
        </right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rgb="FF000000"/>
        <name val="Replica-Light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Replica-Light"/>
        <scheme val="none"/>
      </font>
      <fill>
        <patternFill patternType="solid">
          <fgColor rgb="FF000000"/>
          <bgColor rgb="FFA5C3E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color theme="0" tint="-0.24994659260841701"/>
      </font>
    </dxf>
    <dxf>
      <fill>
        <patternFill patternType="darkUp">
          <fgColor theme="5" tint="-0.2499465926084170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theme="0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2"/>
      </font>
      <numFmt numFmtId="0" formatCode="General"/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5"/>
        </patternFill>
      </fill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numFmt numFmtId="168" formatCode="0.0"/>
    </dxf>
    <dxf>
      <numFmt numFmtId="168" formatCode="0.0"/>
    </dxf>
    <dxf>
      <font>
        <name val="Replica-Light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ditt prosjekt</a:t>
            </a:r>
          </a:p>
        </c:rich>
      </c:tx>
      <c:layout>
        <c:manualLayout>
          <c:xMode val="edge"/>
          <c:yMode val="edge"/>
          <c:x val="0.28054065887503971"/>
          <c:y val="4.1832805382085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8-0449-946A-3B58688DB04E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Beregning'!$G$28</c:f>
              <c:numCache>
                <c:formatCode>0</c:formatCode>
                <c:ptCount val="1"/>
                <c:pt idx="0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b="1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sz="1400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Materialkrav, energikrav og totalkrav for ditt prosjekt</a:t>
            </a:r>
          </a:p>
        </c:rich>
      </c:tx>
      <c:layout>
        <c:manualLayout>
          <c:xMode val="edge"/>
          <c:yMode val="edge"/>
          <c:x val="0.21050772626931569"/>
          <c:y val="4.2676196244700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21930311094750968"/>
          <c:w val="0.69844589738782648"/>
          <c:h val="0.67219259591364722"/>
        </c:manualLayout>
      </c:layout>
      <c:scatterChart>
        <c:scatterStyle val="lineMarker"/>
        <c:varyColors val="0"/>
        <c:ser>
          <c:idx val="1"/>
          <c:order val="0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1"/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E9-644F-9A80-2C78D91FC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grunn</a:t>
            </a:r>
            <a:r>
              <a:rPr lang="en-US" baseline="0"/>
              <a:t> og fundamenter</a:t>
            </a:r>
            <a:endParaRPr lang="en-US"/>
          </a:p>
        </c:rich>
      </c:tx>
      <c:layout>
        <c:manualLayout>
          <c:xMode val="edge"/>
          <c:yMode val="edge"/>
          <c:x val="0.19469598491603973"/>
          <c:y val="5.89742552359374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kravsnivå'!$G$128:$G$158</c:f>
              <c:numCache>
                <c:formatCode>0</c:formatCode>
                <c:ptCount val="31"/>
                <c:pt idx="0">
                  <c:v>141.35413862312149</c:v>
                </c:pt>
                <c:pt idx="1">
                  <c:v>133.46657768795129</c:v>
                </c:pt>
                <c:pt idx="2">
                  <c:v>126.08789165182436</c:v>
                </c:pt>
                <c:pt idx="3">
                  <c:v>118.70920561569743</c:v>
                </c:pt>
                <c:pt idx="4">
                  <c:v>111.30224875184585</c:v>
                </c:pt>
                <c:pt idx="5">
                  <c:v>103.92356271571892</c:v>
                </c:pt>
                <c:pt idx="6">
                  <c:v>96.544876679591979</c:v>
                </c:pt>
                <c:pt idx="7">
                  <c:v>89.137919815740418</c:v>
                </c:pt>
                <c:pt idx="8">
                  <c:v>81.759233779613467</c:v>
                </c:pt>
                <c:pt idx="9">
                  <c:v>74.380547743486531</c:v>
                </c:pt>
                <c:pt idx="10">
                  <c:v>66.973590879634955</c:v>
                </c:pt>
                <c:pt idx="11">
                  <c:v>64.033424796274033</c:v>
                </c:pt>
                <c:pt idx="12">
                  <c:v>61.573862784231714</c:v>
                </c:pt>
                <c:pt idx="13">
                  <c:v>58.605425873146174</c:v>
                </c:pt>
                <c:pt idx="14">
                  <c:v>55.665259789785239</c:v>
                </c:pt>
                <c:pt idx="15">
                  <c:v>52.696822878699692</c:v>
                </c:pt>
                <c:pt idx="16">
                  <c:v>50.237260866657373</c:v>
                </c:pt>
                <c:pt idx="17">
                  <c:v>47.268823955571825</c:v>
                </c:pt>
                <c:pt idx="18">
                  <c:v>44.328657872210897</c:v>
                </c:pt>
                <c:pt idx="19">
                  <c:v>41.869095860168585</c:v>
                </c:pt>
                <c:pt idx="20">
                  <c:v>38.900658949083031</c:v>
                </c:pt>
                <c:pt idx="21">
                  <c:v>35.960492865722109</c:v>
                </c:pt>
                <c:pt idx="22">
                  <c:v>32.992055954636555</c:v>
                </c:pt>
                <c:pt idx="23">
                  <c:v>30.53249394259424</c:v>
                </c:pt>
                <c:pt idx="24">
                  <c:v>27.592327859233315</c:v>
                </c:pt>
                <c:pt idx="25">
                  <c:v>24.623890948147761</c:v>
                </c:pt>
                <c:pt idx="26">
                  <c:v>21.683724864786836</c:v>
                </c:pt>
                <c:pt idx="27">
                  <c:v>19.195892025019898</c:v>
                </c:pt>
                <c:pt idx="28">
                  <c:v>16.255725941658973</c:v>
                </c:pt>
                <c:pt idx="29">
                  <c:v>13.287289030573421</c:v>
                </c:pt>
                <c:pt idx="30">
                  <c:v>10.347122947212492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06-884C-BCE6-FE6698FBBEC1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kravsnivå'!$H$128:$H$158</c:f>
              <c:numCache>
                <c:formatCode>0</c:formatCode>
                <c:ptCount val="31"/>
                <c:pt idx="0">
                  <c:v>70.677069311560743</c:v>
                </c:pt>
                <c:pt idx="1">
                  <c:v>66.733288843975643</c:v>
                </c:pt>
                <c:pt idx="2">
                  <c:v>63.043945825912182</c:v>
                </c:pt>
                <c:pt idx="3">
                  <c:v>59.354602807848714</c:v>
                </c:pt>
                <c:pt idx="4">
                  <c:v>55.651124375922926</c:v>
                </c:pt>
                <c:pt idx="5">
                  <c:v>51.961781357859458</c:v>
                </c:pt>
                <c:pt idx="6">
                  <c:v>48.27243833979599</c:v>
                </c:pt>
                <c:pt idx="7">
                  <c:v>44.568959907870209</c:v>
                </c:pt>
                <c:pt idx="8">
                  <c:v>40.879616889806734</c:v>
                </c:pt>
                <c:pt idx="9">
                  <c:v>37.190273871743265</c:v>
                </c:pt>
                <c:pt idx="10">
                  <c:v>33.486795439817477</c:v>
                </c:pt>
                <c:pt idx="11">
                  <c:v>32.016712398137017</c:v>
                </c:pt>
                <c:pt idx="12">
                  <c:v>30.786931392115857</c:v>
                </c:pt>
                <c:pt idx="13">
                  <c:v>29.302712936573087</c:v>
                </c:pt>
                <c:pt idx="14">
                  <c:v>27.832629894892619</c:v>
                </c:pt>
                <c:pt idx="15">
                  <c:v>26.348411439349846</c:v>
                </c:pt>
                <c:pt idx="16">
                  <c:v>25.118630433328686</c:v>
                </c:pt>
                <c:pt idx="17">
                  <c:v>23.634411977785913</c:v>
                </c:pt>
                <c:pt idx="18">
                  <c:v>22.164328936105449</c:v>
                </c:pt>
                <c:pt idx="19">
                  <c:v>20.934547930084292</c:v>
                </c:pt>
                <c:pt idx="20">
                  <c:v>19.450329474541515</c:v>
                </c:pt>
                <c:pt idx="21">
                  <c:v>17.980246432861055</c:v>
                </c:pt>
                <c:pt idx="22">
                  <c:v>16.496027977318278</c:v>
                </c:pt>
                <c:pt idx="23">
                  <c:v>15.26624697129712</c:v>
                </c:pt>
                <c:pt idx="24">
                  <c:v>13.796163929616657</c:v>
                </c:pt>
                <c:pt idx="25">
                  <c:v>12.31194547407388</c:v>
                </c:pt>
                <c:pt idx="26">
                  <c:v>10.841862432393418</c:v>
                </c:pt>
                <c:pt idx="27">
                  <c:v>9.5979460125099489</c:v>
                </c:pt>
                <c:pt idx="28">
                  <c:v>8.1278629708294865</c:v>
                </c:pt>
                <c:pt idx="29">
                  <c:v>6.6436445152867103</c:v>
                </c:pt>
                <c:pt idx="30">
                  <c:v>5.1735614736062461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Beregning'!$F$46:$F$47</c:f>
              <c:strCache>
                <c:ptCount val="2"/>
                <c:pt idx="0">
                  <c:v>Kravsnivå prosjekt</c:v>
                </c:pt>
                <c:pt idx="1">
                  <c:v>2025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Beregning'!$F$49</c:f>
              <c:numCache>
                <c:formatCode>_(* #,##0.00_);_(* \(#,##0.00\);_(* "-"??_);_(@_)</c:formatCode>
                <c:ptCount val="1"/>
                <c:pt idx="0">
                  <c:v>51.961781357859458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8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38984141168452524"/>
          <c:y val="3.6522452016997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16460905349794239"/>
          <c:w val="0.69844589738782648"/>
          <c:h val="0.726886685460613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'ZERO-B Resultat'!$C$8</c:f>
              <c:strCache>
                <c:ptCount val="1"/>
                <c:pt idx="0">
                  <c:v>Beregnet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atMod val="103000"/>
                    <a:lumMod val="102000"/>
                    <a:tint val="94000"/>
                  </a:schemeClr>
                </a:gs>
                <a:gs pos="50000">
                  <a:schemeClr val="dk1">
                    <a:tint val="88500"/>
                    <a:satMod val="110000"/>
                    <a:lumMod val="100000"/>
                    <a:shade val="100000"/>
                  </a:schemeClr>
                </a:gs>
                <a:gs pos="100000">
                  <a:schemeClr val="dk1">
                    <a:tint val="885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cat>
          <c:val>
            <c:numRef>
              <c:f>'ZERO-B Resultat'!$C$9:$C$11</c:f>
              <c:numCache>
                <c:formatCode>0.0</c:formatCode>
                <c:ptCount val="3"/>
                <c:pt idx="0">
                  <c:v>17.365098962674271</c:v>
                </c:pt>
                <c:pt idx="1">
                  <c:v>0</c:v>
                </c:pt>
                <c:pt idx="2">
                  <c:v>17.365098962674271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8"/>
        <c:overlap val="100"/>
        <c:axId val="745902032"/>
        <c:axId val="745900064"/>
      </c:barChart>
      <c:scatterChart>
        <c:scatterStyle val="lineMarker"/>
        <c:varyColors val="0"/>
        <c:ser>
          <c:idx val="1"/>
          <c:order val="1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2">
                  <a:lumMod val="60000"/>
                  <a:lumOff val="40000"/>
                </a:schemeClr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45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41686358707385607"/>
          <c:y val="4.48979490828975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0-DC4D-9176-4C77471727A1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Resultat'!$C$11</c:f>
              <c:numCache>
                <c:formatCode>0.0</c:formatCode>
                <c:ptCount val="1"/>
                <c:pt idx="0">
                  <c:v>17.365098962674271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.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kravsnivå'!$E$127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kravsnivå'!$E$128:$E$158</c:f>
              <c:numCache>
                <c:formatCode>0</c:formatCode>
                <c:ptCount val="31"/>
                <c:pt idx="0">
                  <c:v>282708.27724624297</c:v>
                </c:pt>
                <c:pt idx="1">
                  <c:v>266933.1553759026</c:v>
                </c:pt>
                <c:pt idx="2">
                  <c:v>252175.78330364873</c:v>
                </c:pt>
                <c:pt idx="3">
                  <c:v>237418.41123139486</c:v>
                </c:pt>
                <c:pt idx="4">
                  <c:v>222604.4975036917</c:v>
                </c:pt>
                <c:pt idx="5">
                  <c:v>207847.12543143783</c:v>
                </c:pt>
                <c:pt idx="6">
                  <c:v>193089.75335918396</c:v>
                </c:pt>
                <c:pt idx="7">
                  <c:v>178275.83963148083</c:v>
                </c:pt>
                <c:pt idx="8">
                  <c:v>163518.46755922693</c:v>
                </c:pt>
                <c:pt idx="9">
                  <c:v>148761.09548697306</c:v>
                </c:pt>
                <c:pt idx="10">
                  <c:v>133947.18175926991</c:v>
                </c:pt>
                <c:pt idx="11">
                  <c:v>128066.84959254807</c:v>
                </c:pt>
                <c:pt idx="12">
                  <c:v>123147.72556846343</c:v>
                </c:pt>
                <c:pt idx="13">
                  <c:v>117210.85174629235</c:v>
                </c:pt>
                <c:pt idx="14">
                  <c:v>111330.51957957048</c:v>
                </c:pt>
                <c:pt idx="15">
                  <c:v>105393.64575739938</c:v>
                </c:pt>
                <c:pt idx="16">
                  <c:v>100474.52173331474</c:v>
                </c:pt>
                <c:pt idx="17">
                  <c:v>94537.647911143649</c:v>
                </c:pt>
                <c:pt idx="18">
                  <c:v>88657.315744421794</c:v>
                </c:pt>
                <c:pt idx="19">
                  <c:v>83738.19172033717</c:v>
                </c:pt>
                <c:pt idx="20">
                  <c:v>77801.31789816606</c:v>
                </c:pt>
                <c:pt idx="21">
                  <c:v>71920.98573144422</c:v>
                </c:pt>
                <c:pt idx="22">
                  <c:v>65984.11190927311</c:v>
                </c:pt>
                <c:pt idx="23">
                  <c:v>61064.987885188479</c:v>
                </c:pt>
                <c:pt idx="24">
                  <c:v>55184.655718466631</c:v>
                </c:pt>
                <c:pt idx="25">
                  <c:v>49247.781896295521</c:v>
                </c:pt>
                <c:pt idx="26">
                  <c:v>43367.449729573673</c:v>
                </c:pt>
                <c:pt idx="27">
                  <c:v>38391.784050039794</c:v>
                </c:pt>
                <c:pt idx="28">
                  <c:v>32511.451883317943</c:v>
                </c:pt>
                <c:pt idx="29">
                  <c:v>26574.57806114684</c:v>
                </c:pt>
                <c:pt idx="30">
                  <c:v>20694.245894424985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D-EF4A-8BAD-464B96FE1740}"/>
            </c:ext>
          </c:extLst>
        </c:ser>
        <c:ser>
          <c:idx val="0"/>
          <c:order val="1"/>
          <c:tx>
            <c:strRef>
              <c:f>'Verdier kravsnivå'!$F$127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kravsnivå'!$F$128:$F$158</c:f>
              <c:numCache>
                <c:formatCode>0</c:formatCode>
                <c:ptCount val="31"/>
                <c:pt idx="0">
                  <c:v>141354.13862312149</c:v>
                </c:pt>
                <c:pt idx="1">
                  <c:v>133466.5776879513</c:v>
                </c:pt>
                <c:pt idx="2">
                  <c:v>126087.89165182436</c:v>
                </c:pt>
                <c:pt idx="3">
                  <c:v>118709.20561569743</c:v>
                </c:pt>
                <c:pt idx="4">
                  <c:v>111302.24875184585</c:v>
                </c:pt>
                <c:pt idx="5">
                  <c:v>103923.56271571892</c:v>
                </c:pt>
                <c:pt idx="6">
                  <c:v>96544.87667959198</c:v>
                </c:pt>
                <c:pt idx="7">
                  <c:v>89137.919815740417</c:v>
                </c:pt>
                <c:pt idx="8">
                  <c:v>81759.233779613467</c:v>
                </c:pt>
                <c:pt idx="9">
                  <c:v>74380.547743486532</c:v>
                </c:pt>
                <c:pt idx="10">
                  <c:v>66973.590879634954</c:v>
                </c:pt>
                <c:pt idx="11">
                  <c:v>64033.424796274034</c:v>
                </c:pt>
                <c:pt idx="12">
                  <c:v>61573.862784231715</c:v>
                </c:pt>
                <c:pt idx="13">
                  <c:v>58605.425873146174</c:v>
                </c:pt>
                <c:pt idx="14">
                  <c:v>55665.259789785239</c:v>
                </c:pt>
                <c:pt idx="15">
                  <c:v>52696.822878699692</c:v>
                </c:pt>
                <c:pt idx="16">
                  <c:v>50237.260866657372</c:v>
                </c:pt>
                <c:pt idx="17">
                  <c:v>47268.823955571825</c:v>
                </c:pt>
                <c:pt idx="18">
                  <c:v>44328.657872210897</c:v>
                </c:pt>
                <c:pt idx="19">
                  <c:v>41869.095860168585</c:v>
                </c:pt>
                <c:pt idx="20">
                  <c:v>38900.65894908303</c:v>
                </c:pt>
                <c:pt idx="21">
                  <c:v>35960.49286572211</c:v>
                </c:pt>
                <c:pt idx="22">
                  <c:v>32992.055954636555</c:v>
                </c:pt>
                <c:pt idx="23">
                  <c:v>30532.493942594239</c:v>
                </c:pt>
                <c:pt idx="24">
                  <c:v>27592.327859233315</c:v>
                </c:pt>
                <c:pt idx="25">
                  <c:v>24623.89094814776</c:v>
                </c:pt>
                <c:pt idx="26">
                  <c:v>21683.724864786836</c:v>
                </c:pt>
                <c:pt idx="27">
                  <c:v>19195.892025019897</c:v>
                </c:pt>
                <c:pt idx="28">
                  <c:v>16255.725941658971</c:v>
                </c:pt>
                <c:pt idx="29">
                  <c:v>13287.28903057342</c:v>
                </c:pt>
                <c:pt idx="30">
                  <c:v>10347.122947212492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>
                <a:solidFill>
                  <a:schemeClr val="bg2">
                    <a:lumMod val="50000"/>
                  </a:schemeClr>
                </a:solidFill>
              </a:rPr>
              <a:t>Beregnet</a:t>
            </a:r>
            <a:r>
              <a:rPr lang="nb-NO" baseline="0">
                <a:solidFill>
                  <a:schemeClr val="bg2">
                    <a:lumMod val="50000"/>
                  </a:schemeClr>
                </a:solidFill>
              </a:rPr>
              <a:t> utslipp fra byggeplass</a:t>
            </a:r>
            <a:endParaRPr lang="nb-NO">
              <a:solidFill>
                <a:schemeClr val="bg2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8-4DFC-BB1B-1266929651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78-4DFC-BB1B-1266929651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78-4DFC-BB1B-12669296519E}"/>
              </c:ext>
            </c:extLst>
          </c:dPt>
          <c:cat>
            <c:strRef>
              <c:f>'ZERO-B Resultat'!$B$73:$B$75</c:f>
              <c:strCache>
                <c:ptCount val="3"/>
                <c:pt idx="0">
                  <c:v>Elektrisitet, levert</c:v>
                </c:pt>
                <c:pt idx="1">
                  <c:v>Fjernvarme</c:v>
                </c:pt>
                <c:pt idx="2">
                  <c:v>Biodrivstoff</c:v>
                </c:pt>
              </c:strCache>
            </c:strRef>
          </c:cat>
          <c:val>
            <c:numRef>
              <c:f>'ZERO-B Resultat'!$C$73:$C$75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A-704F-BA68-8B6440221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b="1">
                <a:solidFill>
                  <a:schemeClr val="bg2">
                    <a:lumMod val="50000"/>
                  </a:schemeClr>
                </a:solidFill>
              </a:rPr>
              <a:t>Tilleggskriterium: Beregning av øvrige bygningsdeler</a:t>
            </a:r>
          </a:p>
        </c:rich>
      </c:tx>
      <c:layout>
        <c:manualLayout>
          <c:xMode val="edge"/>
          <c:yMode val="edge"/>
          <c:x val="0.13164850312132073"/>
          <c:y val="4.72131135352236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22164091097989366"/>
          <c:y val="0.13277224389383649"/>
          <c:w val="0.53428539129395913"/>
          <c:h val="0.77308174072333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0B5-487C-AB24-A9597072E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0B5-487C-AB24-A9597072E468}"/>
              </c:ext>
            </c:extLst>
          </c:dPt>
          <c:cat>
            <c:strRef>
              <c:f>'ZERO-B Resultat'!$K$40:$L$40</c:f>
              <c:strCache>
                <c:ptCount val="2"/>
                <c:pt idx="0">
                  <c:v>Beregnet utslipp </c:v>
                </c:pt>
                <c:pt idx="1">
                  <c:v>Bygget toalt</c:v>
                </c:pt>
              </c:strCache>
            </c:strRef>
          </c:cat>
          <c:val>
            <c:numRef>
              <c:f>'ZERO-B Resultat'!$K$41:$L$41</c:f>
              <c:numCache>
                <c:formatCode>#,##0</c:formatCode>
                <c:ptCount val="2"/>
                <c:pt idx="0">
                  <c:v>14178.945059783226</c:v>
                </c:pt>
                <c:pt idx="1">
                  <c:v>372000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C-2342-8897-BBBC83A6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val>
            <c:numRef>
              <c:f>'Verdier kravsnivå'!$G$128:$G$158</c:f>
              <c:numCache>
                <c:formatCode>0</c:formatCode>
                <c:ptCount val="31"/>
                <c:pt idx="0">
                  <c:v>141.35413862312149</c:v>
                </c:pt>
                <c:pt idx="1">
                  <c:v>133.46657768795129</c:v>
                </c:pt>
                <c:pt idx="2">
                  <c:v>126.08789165182436</c:v>
                </c:pt>
                <c:pt idx="3">
                  <c:v>118.70920561569743</c:v>
                </c:pt>
                <c:pt idx="4">
                  <c:v>111.30224875184585</c:v>
                </c:pt>
                <c:pt idx="5">
                  <c:v>103.92356271571892</c:v>
                </c:pt>
                <c:pt idx="6">
                  <c:v>96.544876679591979</c:v>
                </c:pt>
                <c:pt idx="7">
                  <c:v>89.137919815740418</c:v>
                </c:pt>
                <c:pt idx="8">
                  <c:v>81.759233779613467</c:v>
                </c:pt>
                <c:pt idx="9">
                  <c:v>74.380547743486531</c:v>
                </c:pt>
                <c:pt idx="10">
                  <c:v>66.973590879634955</c:v>
                </c:pt>
                <c:pt idx="11">
                  <c:v>64.033424796274033</c:v>
                </c:pt>
                <c:pt idx="12">
                  <c:v>61.573862784231714</c:v>
                </c:pt>
                <c:pt idx="13">
                  <c:v>58.605425873146174</c:v>
                </c:pt>
                <c:pt idx="14">
                  <c:v>55.665259789785239</c:v>
                </c:pt>
                <c:pt idx="15">
                  <c:v>52.696822878699692</c:v>
                </c:pt>
                <c:pt idx="16">
                  <c:v>50.237260866657373</c:v>
                </c:pt>
                <c:pt idx="17">
                  <c:v>47.268823955571825</c:v>
                </c:pt>
                <c:pt idx="18">
                  <c:v>44.328657872210897</c:v>
                </c:pt>
                <c:pt idx="19">
                  <c:v>41.869095860168585</c:v>
                </c:pt>
                <c:pt idx="20">
                  <c:v>38.900658949083031</c:v>
                </c:pt>
                <c:pt idx="21">
                  <c:v>35.960492865722109</c:v>
                </c:pt>
                <c:pt idx="22">
                  <c:v>32.992055954636555</c:v>
                </c:pt>
                <c:pt idx="23">
                  <c:v>30.53249394259424</c:v>
                </c:pt>
                <c:pt idx="24">
                  <c:v>27.592327859233315</c:v>
                </c:pt>
                <c:pt idx="25">
                  <c:v>24.623890948147761</c:v>
                </c:pt>
                <c:pt idx="26">
                  <c:v>21.683724864786836</c:v>
                </c:pt>
                <c:pt idx="27">
                  <c:v>19.195892025019898</c:v>
                </c:pt>
                <c:pt idx="28">
                  <c:v>16.255725941658973</c:v>
                </c:pt>
                <c:pt idx="29">
                  <c:v>13.287289030573421</c:v>
                </c:pt>
                <c:pt idx="30">
                  <c:v>10.347122947212492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E5-554D-B83F-D3BE1880531E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Ref>
              <c:f>'Verdier kravsnivå'!$H$128:$H$158</c:f>
              <c:numCache>
                <c:formatCode>0</c:formatCode>
                <c:ptCount val="31"/>
                <c:pt idx="0">
                  <c:v>70.677069311560743</c:v>
                </c:pt>
                <c:pt idx="1">
                  <c:v>66.733288843975643</c:v>
                </c:pt>
                <c:pt idx="2">
                  <c:v>63.043945825912182</c:v>
                </c:pt>
                <c:pt idx="3">
                  <c:v>59.354602807848714</c:v>
                </c:pt>
                <c:pt idx="4">
                  <c:v>55.651124375922926</c:v>
                </c:pt>
                <c:pt idx="5">
                  <c:v>51.961781357859458</c:v>
                </c:pt>
                <c:pt idx="6">
                  <c:v>48.27243833979599</c:v>
                </c:pt>
                <c:pt idx="7">
                  <c:v>44.568959907870209</c:v>
                </c:pt>
                <c:pt idx="8">
                  <c:v>40.879616889806734</c:v>
                </c:pt>
                <c:pt idx="9">
                  <c:v>37.190273871743265</c:v>
                </c:pt>
                <c:pt idx="10">
                  <c:v>33.486795439817477</c:v>
                </c:pt>
                <c:pt idx="11">
                  <c:v>32.016712398137017</c:v>
                </c:pt>
                <c:pt idx="12">
                  <c:v>30.786931392115857</c:v>
                </c:pt>
                <c:pt idx="13">
                  <c:v>29.302712936573087</c:v>
                </c:pt>
                <c:pt idx="14">
                  <c:v>27.832629894892619</c:v>
                </c:pt>
                <c:pt idx="15">
                  <c:v>26.348411439349846</c:v>
                </c:pt>
                <c:pt idx="16">
                  <c:v>25.118630433328686</c:v>
                </c:pt>
                <c:pt idx="17">
                  <c:v>23.634411977785913</c:v>
                </c:pt>
                <c:pt idx="18">
                  <c:v>22.164328936105449</c:v>
                </c:pt>
                <c:pt idx="19">
                  <c:v>20.934547930084292</c:v>
                </c:pt>
                <c:pt idx="20">
                  <c:v>19.450329474541515</c:v>
                </c:pt>
                <c:pt idx="21">
                  <c:v>17.980246432861055</c:v>
                </c:pt>
                <c:pt idx="22">
                  <c:v>16.496027977318278</c:v>
                </c:pt>
                <c:pt idx="23">
                  <c:v>15.26624697129712</c:v>
                </c:pt>
                <c:pt idx="24">
                  <c:v>13.796163929616657</c:v>
                </c:pt>
                <c:pt idx="25">
                  <c:v>12.31194547407388</c:v>
                </c:pt>
                <c:pt idx="26">
                  <c:v>10.841862432393418</c:v>
                </c:pt>
                <c:pt idx="27">
                  <c:v>9.5979460125099489</c:v>
                </c:pt>
                <c:pt idx="28">
                  <c:v>8.1278629708294865</c:v>
                </c:pt>
                <c:pt idx="29">
                  <c:v>6.6436445152867103</c:v>
                </c:pt>
                <c:pt idx="30">
                  <c:v>5.1735614736062461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963753</xdr:colOff>
      <xdr:row>1</xdr:row>
      <xdr:rowOff>48732</xdr:rowOff>
    </xdr:from>
    <xdr:to>
      <xdr:col>13</xdr:col>
      <xdr:colOff>543486</xdr:colOff>
      <xdr:row>23</xdr:row>
      <xdr:rowOff>173030</xdr:rowOff>
    </xdr:to>
    <xdr:sp macro="" textlink="">
      <xdr:nvSpPr>
        <xdr:cNvPr id="5" name="Freeform 54">
          <a:extLst>
            <a:ext uri="{FF2B5EF4-FFF2-40B4-BE49-F238E27FC236}">
              <a16:creationId xmlns:a16="http://schemas.microsoft.com/office/drawing/2014/main" id="{F5C25285-FDC3-0C48-A28A-769E4A56F8D9}"/>
            </a:ext>
          </a:extLst>
        </xdr:cNvPr>
        <xdr:cNvSpPr>
          <a:spLocks noChangeArrowheads="1"/>
        </xdr:cNvSpPr>
      </xdr:nvSpPr>
      <xdr:spPr bwMode="auto">
        <a:xfrm>
          <a:off x="10652039" y="502303"/>
          <a:ext cx="3970304" cy="440601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333375</xdr:colOff>
      <xdr:row>30</xdr:row>
      <xdr:rowOff>63500</xdr:rowOff>
    </xdr:from>
    <xdr:to>
      <xdr:col>25</xdr:col>
      <xdr:colOff>30583</xdr:colOff>
      <xdr:row>51</xdr:row>
      <xdr:rowOff>130648</xdr:rowOff>
    </xdr:to>
    <xdr:sp macro="" textlink="">
      <xdr:nvSpPr>
        <xdr:cNvPr id="7" name="Freeform 54">
          <a:extLst>
            <a:ext uri="{FF2B5EF4-FFF2-40B4-BE49-F238E27FC236}">
              <a16:creationId xmlns:a16="http://schemas.microsoft.com/office/drawing/2014/main" id="{588091A8-F8A8-B444-AE90-76E1571439B9}"/>
            </a:ext>
          </a:extLst>
        </xdr:cNvPr>
        <xdr:cNvSpPr>
          <a:spLocks noChangeArrowheads="1"/>
        </xdr:cNvSpPr>
      </xdr:nvSpPr>
      <xdr:spPr bwMode="auto">
        <a:xfrm>
          <a:off x="21351875" y="6667500"/>
          <a:ext cx="3935833" cy="440102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11</xdr:col>
      <xdr:colOff>95250</xdr:colOff>
      <xdr:row>7</xdr:row>
      <xdr:rowOff>142875</xdr:rowOff>
    </xdr:from>
    <xdr:to>
      <xdr:col>17</xdr:col>
      <xdr:colOff>444500</xdr:colOff>
      <xdr:row>28</xdr:row>
      <xdr:rowOff>206375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A25FE83B-8576-1E40-95F1-E1532075AE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539750</xdr:colOff>
      <xdr:row>7</xdr:row>
      <xdr:rowOff>158751</xdr:rowOff>
    </xdr:from>
    <xdr:to>
      <xdr:col>26</xdr:col>
      <xdr:colOff>635000</xdr:colOff>
      <xdr:row>28</xdr:row>
      <xdr:rowOff>206376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19CA221-B3FB-4C4E-A686-F4A4C7393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138546</xdr:colOff>
      <xdr:row>30</xdr:row>
      <xdr:rowOff>115454</xdr:rowOff>
    </xdr:from>
    <xdr:to>
      <xdr:col>17</xdr:col>
      <xdr:colOff>363402</xdr:colOff>
      <xdr:row>50</xdr:row>
      <xdr:rowOff>151873</xdr:rowOff>
    </xdr:to>
    <xdr:graphicFrame macro="">
      <xdr:nvGraphicFramePr>
        <xdr:cNvPr id="5" name="Chart 6">
          <a:extLst>
            <a:ext uri="{FF2B5EF4-FFF2-40B4-BE49-F238E27FC236}">
              <a16:creationId xmlns:a16="http://schemas.microsoft.com/office/drawing/2014/main" id="{A5861F9D-17B2-F347-9EAC-4C7901645A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509814</xdr:colOff>
      <xdr:row>12</xdr:row>
      <xdr:rowOff>61282</xdr:rowOff>
    </xdr:from>
    <xdr:to>
      <xdr:col>13</xdr:col>
      <xdr:colOff>733777</xdr:colOff>
      <xdr:row>34</xdr:row>
      <xdr:rowOff>181689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BED6D-C02B-6346-BDF9-8EAB2D3260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781957</xdr:colOff>
      <xdr:row>12</xdr:row>
      <xdr:rowOff>114701</xdr:rowOff>
    </xdr:from>
    <xdr:to>
      <xdr:col>8</xdr:col>
      <xdr:colOff>312057</xdr:colOff>
      <xdr:row>34</xdr:row>
      <xdr:rowOff>161857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2E4ABE95-B9B3-C744-B274-40A8D84A7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802923</xdr:colOff>
      <xdr:row>43</xdr:row>
      <xdr:rowOff>123472</xdr:rowOff>
    </xdr:from>
    <xdr:to>
      <xdr:col>8</xdr:col>
      <xdr:colOff>208629</xdr:colOff>
      <xdr:row>65</xdr:row>
      <xdr:rowOff>97258</xdr:rowOff>
    </xdr:to>
    <xdr:graphicFrame macro="">
      <xdr:nvGraphicFramePr>
        <xdr:cNvPr id="4" name="Chart 6">
          <a:extLst>
            <a:ext uri="{FF2B5EF4-FFF2-40B4-BE49-F238E27FC236}">
              <a16:creationId xmlns:a16="http://schemas.microsoft.com/office/drawing/2014/main" id="{CA93166E-539D-9A48-8ED6-1F6B013E7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187550</xdr:colOff>
      <xdr:row>68</xdr:row>
      <xdr:rowOff>122382</xdr:rowOff>
    </xdr:from>
    <xdr:to>
      <xdr:col>10</xdr:col>
      <xdr:colOff>350981</xdr:colOff>
      <xdr:row>84</xdr:row>
      <xdr:rowOff>87745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380539C9-7CE1-5AFB-51C7-E24681CD46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430387</xdr:colOff>
      <xdr:row>43</xdr:row>
      <xdr:rowOff>112889</xdr:rowOff>
    </xdr:from>
    <xdr:to>
      <xdr:col>13</xdr:col>
      <xdr:colOff>138545</xdr:colOff>
      <xdr:row>65</xdr:row>
      <xdr:rowOff>70556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1C3DE9A6-E3C8-C973-5E3D-CEA45562D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211666</xdr:colOff>
      <xdr:row>43</xdr:row>
      <xdr:rowOff>70556</xdr:rowOff>
    </xdr:from>
    <xdr:to>
      <xdr:col>24</xdr:col>
      <xdr:colOff>548706</xdr:colOff>
      <xdr:row>65</xdr:row>
      <xdr:rowOff>44342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9B18CC8-193E-A74E-8F1E-25817DA00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575850</xdr:colOff>
      <xdr:row>1</xdr:row>
      <xdr:rowOff>30122</xdr:rowOff>
    </xdr:from>
    <xdr:to>
      <xdr:col>10</xdr:col>
      <xdr:colOff>2000250</xdr:colOff>
      <xdr:row>25</xdr:row>
      <xdr:rowOff>169333</xdr:rowOff>
    </xdr:to>
    <xdr:sp macro="" textlink="">
      <xdr:nvSpPr>
        <xdr:cNvPr id="2" name="Freeform 54">
          <a:extLst>
            <a:ext uri="{FF2B5EF4-FFF2-40B4-BE49-F238E27FC236}">
              <a16:creationId xmlns:a16="http://schemas.microsoft.com/office/drawing/2014/main" id="{612CB595-9F8A-7849-9FC2-9B1C1CC5B338}"/>
            </a:ext>
          </a:extLst>
        </xdr:cNvPr>
        <xdr:cNvSpPr>
          <a:spLocks noChangeArrowheads="1"/>
        </xdr:cNvSpPr>
      </xdr:nvSpPr>
      <xdr:spPr bwMode="auto">
        <a:xfrm>
          <a:off x="9984433" y="485205"/>
          <a:ext cx="3509317" cy="4605378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4</xdr:col>
      <xdr:colOff>812800</xdr:colOff>
      <xdr:row>11</xdr:row>
      <xdr:rowOff>156134</xdr:rowOff>
    </xdr:from>
    <xdr:to>
      <xdr:col>6</xdr:col>
      <xdr:colOff>971549</xdr:colOff>
      <xdr:row>13</xdr:row>
      <xdr:rowOff>177799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4E19A95B-3811-6C7A-DCE9-17876E4E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89600" y="2505634"/>
          <a:ext cx="2209800" cy="389965"/>
        </a:xfrm>
        <a:prstGeom prst="rect">
          <a:avLst/>
        </a:prstGeom>
      </xdr:spPr>
    </xdr:pic>
    <xdr:clientData/>
  </xdr:twoCellAnchor>
  <xdr:twoCellAnchor editAs="oneCell">
    <xdr:from>
      <xdr:col>4</xdr:col>
      <xdr:colOff>254000</xdr:colOff>
      <xdr:row>22</xdr:row>
      <xdr:rowOff>139700</xdr:rowOff>
    </xdr:from>
    <xdr:to>
      <xdr:col>6</xdr:col>
      <xdr:colOff>196849</xdr:colOff>
      <xdr:row>24</xdr:row>
      <xdr:rowOff>170180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76CA6B76-CDF6-FCAE-8F05-FB6606DBE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30800" y="4483100"/>
          <a:ext cx="1993900" cy="398780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190500</xdr:colOff>
      <xdr:row>17</xdr:row>
      <xdr:rowOff>97366</xdr:rowOff>
    </xdr:from>
    <xdr:to>
      <xdr:col>2</xdr:col>
      <xdr:colOff>116416</xdr:colOff>
      <xdr:row>21</xdr:row>
      <xdr:rowOff>126999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DB4AA847-1576-B1A6-520D-71C2DA9A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38200" y="3551766"/>
          <a:ext cx="2222500" cy="740833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31</xdr:row>
      <xdr:rowOff>117974</xdr:rowOff>
    </xdr:from>
    <xdr:to>
      <xdr:col>3</xdr:col>
      <xdr:colOff>420113</xdr:colOff>
      <xdr:row>42</xdr:row>
      <xdr:rowOff>0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BFD9EAEF-C2F4-66DA-C42B-CD6009579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22500" y="6074274"/>
          <a:ext cx="1814996" cy="1837826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114300</xdr:colOff>
      <xdr:row>38</xdr:row>
      <xdr:rowOff>120938</xdr:rowOff>
    </xdr:from>
    <xdr:to>
      <xdr:col>7</xdr:col>
      <xdr:colOff>613833</xdr:colOff>
      <xdr:row>47</xdr:row>
      <xdr:rowOff>25400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B4389313-2D2E-C8BC-6734-ED3CACBAC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121400" y="7321838"/>
          <a:ext cx="2552700" cy="1682462"/>
        </a:xfrm>
        <a:prstGeom prst="rect">
          <a:avLst/>
        </a:prstGeom>
      </xdr:spPr>
    </xdr:pic>
    <xdr:clientData/>
  </xdr:twoCellAnchor>
  <xdr:twoCellAnchor editAs="oneCell">
    <xdr:from>
      <xdr:col>1</xdr:col>
      <xdr:colOff>1816100</xdr:colOff>
      <xdr:row>50</xdr:row>
      <xdr:rowOff>127000</xdr:rowOff>
    </xdr:from>
    <xdr:to>
      <xdr:col>4</xdr:col>
      <xdr:colOff>363680</xdr:colOff>
      <xdr:row>59</xdr:row>
      <xdr:rowOff>76200</xdr:rowOff>
    </xdr:to>
    <xdr:pic>
      <xdr:nvPicPr>
        <xdr:cNvPr id="9" name="Bilde 8">
          <a:extLst>
            <a:ext uri="{FF2B5EF4-FFF2-40B4-BE49-F238E27FC236}">
              <a16:creationId xmlns:a16="http://schemas.microsoft.com/office/drawing/2014/main" id="{73BD909C-87C2-2CCF-312D-271E0DD82E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b="78671"/>
        <a:stretch/>
      </xdr:blipFill>
      <xdr:spPr>
        <a:xfrm>
          <a:off x="2463800" y="9461500"/>
          <a:ext cx="3274096" cy="1549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ra Holand Hey" refreshedDate="45369.563945138892" createdVersion="8" refreshedVersion="8" minRefreshableVersion="3" recordCount="147" xr:uid="{827CD7BC-DFBC-D54D-8255-ABC25121CC18}">
  <cacheSource type="worksheet">
    <worksheetSource ref="B11:AF158" sheet="Resultater detaljert Bygg"/>
  </cacheSource>
  <cacheFields count="31">
    <cacheField name="Bygningsdel" numFmtId="0">
      <sharedItems containsSemiMixedTypes="0" containsString="0" containsNumber="1" containsInteger="1" minValue="0" maxValue="490" count="7">
        <n v="211"/>
        <n v="212"/>
        <n v="213"/>
        <n v="214"/>
        <n v="215"/>
        <n v="490"/>
        <n v="0"/>
      </sharedItems>
    </cacheField>
    <cacheField name="Materialkategori" numFmtId="0">
      <sharedItems containsMixedTypes="1" containsNumber="1" containsInteger="1" minValue="0" maxValue="0" count="4">
        <s v="Utvendig kledning av tre"/>
        <s v="Et normalt produkt"/>
        <s v="Energiproduksjon"/>
        <n v="0"/>
      </sharedItems>
    </cacheField>
    <cacheField name="Navn" numFmtId="0">
      <sharedItems containsMixedTypes="1" containsNumber="1" containsInteger="1" minValue="0" maxValue="0" count="7">
        <s v="Et tilfeldig treprodukt"/>
        <s v="Et tilfeldig fossiltprodukt"/>
        <s v="Et tilfeldig sementprodukt"/>
        <s v="Et tilfeldig produkt tilrettelagt for ombruk"/>
        <s v="Et tilfeldig produkt med tre, fossilt, sement, og ombruk"/>
        <s v="Solcellepanel"/>
        <n v="0"/>
      </sharedItems>
    </cacheField>
    <cacheField name=" Sum:" numFmtId="3">
      <sharedItems containsSemiMixedTypes="0" containsString="0" containsNumber="1" minValue="0" maxValue="15764.383134430265"/>
    </cacheField>
    <cacheField name="A1-A3" numFmtId="3">
      <sharedItems containsSemiMixedTypes="0" containsString="0" containsNumber="1" containsInteger="1" minValue="0" maxValue="10000"/>
    </cacheField>
    <cacheField name="A1-A3 ombrkt" numFmtId="3">
      <sharedItems containsSemiMixedTypes="0" containsString="0" containsNumber="1" containsInteger="1" minValue="-8000" maxValue="0"/>
    </cacheField>
    <cacheField name="A1-A3 overskudd" numFmtId="3">
      <sharedItems containsSemiMixedTypes="0" containsString="0" containsNumber="1" containsInteger="1" minValue="0" maxValue="0"/>
    </cacheField>
    <cacheField name="A1-A3 bevaring" numFmtId="3">
      <sharedItems containsSemiMixedTypes="0" containsString="0" containsNumber="1" containsInteger="1" minValue="0" maxValue="0"/>
    </cacheField>
    <cacheField name="A1-A3 biokull produksjon" numFmtId="3">
      <sharedItems containsSemiMixedTypes="0" containsString="0" containsNumber="1" containsInteger="1" minValue="0" maxValue="0"/>
    </cacheField>
    <cacheField name="A1-A3 biokull fratrekk" numFmtId="3">
      <sharedItems containsSemiMixedTypes="0" containsString="0" containsNumber="1" containsInteger="1" minValue="0" maxValue="0"/>
    </cacheField>
    <cacheField name="A1-A3 ettårigevekst produksjon" numFmtId="3">
      <sharedItems containsSemiMixedTypes="0" containsString="0" containsNumber="1" containsInteger="1" minValue="0" maxValue="0"/>
    </cacheField>
    <cacheField name="A1-A3 ettårigevekst fratrekk" numFmtId="3">
      <sharedItems containsSemiMixedTypes="0" containsString="0" containsNumber="1" containsInteger="1" minValue="0" maxValue="0"/>
    </cacheField>
    <cacheField name="A4" numFmtId="3">
      <sharedItems containsSemiMixedTypes="0" containsString="0" containsNumber="1" containsInteger="1" minValue="0" maxValue="300"/>
    </cacheField>
    <cacheField name="A4 biokull" numFmtId="3">
      <sharedItems containsSemiMixedTypes="0" containsString="0" containsNumber="1" containsInteger="1" minValue="0" maxValue="0"/>
    </cacheField>
    <cacheField name="A4 ettårigevekster" numFmtId="3">
      <sharedItems containsSemiMixedTypes="0" containsString="0" containsNumber="1" containsInteger="1" minValue="0" maxValue="0"/>
    </cacheField>
    <cacheField name="A5 kapp og svinn produksjon" numFmtId="3">
      <sharedItems containsSemiMixedTypes="0" containsString="0" containsNumber="1" containsInteger="1" minValue="0" maxValue="1000"/>
    </cacheField>
    <cacheField name="A5 kapp og svinn spesiell tilfeller" numFmtId="3">
      <sharedItems containsSemiMixedTypes="0" containsString="0" containsNumber="1" containsInteger="1" minValue="0" maxValue="0"/>
    </cacheField>
    <cacheField name="A5 kapp og svinn transport til byggeplass" numFmtId="3">
      <sharedItems containsSemiMixedTypes="0" containsString="0" containsNumber="1" containsInteger="1" minValue="0" maxValue="30"/>
    </cacheField>
    <cacheField name="A5 kapp og svinn transport fra byggeplass" numFmtId="3">
      <sharedItems containsSemiMixedTypes="0" containsString="0" containsNumber="1" minValue="0" maxValue="83"/>
    </cacheField>
    <cacheField name="A5 kapp og svinn forbrenning" numFmtId="3">
      <sharedItems containsSemiMixedTypes="0" containsString="0" containsNumber="1" minValue="0" maxValue="4582.5000000000009"/>
    </cacheField>
    <cacheField name="B1 _x000a_biogent opptak" numFmtId="3">
      <sharedItems containsSemiMixedTypes="0" containsString="0" containsNumber="1" minValue="-1440" maxValue="0"/>
    </cacheField>
    <cacheField name="B1 sementopptak" numFmtId="3">
      <sharedItems containsSemiMixedTypes="0" containsString="0" containsNumber="1" containsInteger="1" minValue="0" maxValue="0"/>
    </cacheField>
    <cacheField name="B4 _x000a_produksjon" numFmtId="3">
      <sharedItems containsSemiMixedTypes="0" containsString="0" containsNumber="1" minValue="0" maxValue="1253.1694951004379"/>
    </cacheField>
    <cacheField name="B4 spesiell tilfeller" numFmtId="3">
      <sharedItems containsSemiMixedTypes="0" containsString="0" containsNumber="1" containsInteger="1" minValue="0" maxValue="0"/>
    </cacheField>
    <cacheField name="B4 transport til byggeplass" numFmtId="3">
      <sharedItems containsSemiMixedTypes="0" containsString="0" containsNumber="1" minValue="0" maxValue="125.31694951004377"/>
    </cacheField>
    <cacheField name="B4 transport fra byggeplass" numFmtId="3">
      <sharedItems containsSemiMixedTypes="0" containsString="0" containsNumber="1" minValue="0" maxValue="173.35511348889392"/>
    </cacheField>
    <cacheField name="B4 _x000a_forbrenning" numFmtId="3">
      <sharedItems containsSemiMixedTypes="0" containsString="0" containsNumber="1" minValue="0" maxValue="9571.0820188295947"/>
    </cacheField>
    <cacheField name="C2" numFmtId="3">
      <sharedItems containsSemiMixedTypes="0" containsString="0" containsNumber="1" minValue="0" maxValue="76.462723256941743"/>
    </cacheField>
    <cacheField name="C3" numFmtId="3">
      <sharedItems containsSemiMixedTypes="0" containsString="0" containsNumber="1" minValue="0" maxValue="771.21154727023929"/>
    </cacheField>
    <cacheField name="D ombrukbarhet" numFmtId="3">
      <sharedItems containsSemiMixedTypes="0" containsString="0" containsNumber="1" minValue="-278.12748910026227" maxValue="0"/>
    </cacheField>
    <cacheField name="D materialgjenvinning" numFmtId="3">
      <sharedItems containsSemiMixedTypes="0" containsString="0" containsNumber="1" minValue="-27.000088662030578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x v="0"/>
    <x v="0"/>
    <x v="0"/>
    <n v="11314.462723256942"/>
    <n v="10000"/>
    <n v="0"/>
    <n v="0"/>
    <n v="0"/>
    <n v="0"/>
    <n v="0"/>
    <n v="0"/>
    <n v="0"/>
    <n v="300"/>
    <n v="0"/>
    <n v="0"/>
    <n v="10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1"/>
    <x v="1"/>
    <x v="1"/>
    <n v="15764.383134430265"/>
    <n v="3000"/>
    <n v="0"/>
    <n v="0"/>
    <n v="0"/>
    <n v="0"/>
    <n v="0"/>
    <n v="0"/>
    <n v="0"/>
    <n v="300"/>
    <n v="0"/>
    <n v="0"/>
    <n v="300"/>
    <n v="0"/>
    <n v="30"/>
    <n v="41.5"/>
    <n v="2291.2500000000005"/>
    <n v="-1440"/>
    <n v="0"/>
    <n v="1253.1694951004379"/>
    <n v="0"/>
    <n v="125.31694951004377"/>
    <n v="173.35511348889392"/>
    <n v="9571.0820188295947"/>
    <n v="38.231361628470871"/>
    <n v="385.60577363511965"/>
    <n v="-278.12748910026227"/>
    <n v="-27.000088662030578"/>
  </r>
  <r>
    <x v="2"/>
    <x v="1"/>
    <x v="2"/>
    <n v="2514.4627232569419"/>
    <n v="10000"/>
    <n v="-8000"/>
    <n v="0"/>
    <n v="0"/>
    <n v="0"/>
    <n v="0"/>
    <n v="0"/>
    <n v="0"/>
    <n v="300"/>
    <n v="0"/>
    <n v="0"/>
    <n v="2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3"/>
    <x v="1"/>
    <x v="3"/>
    <n v="6174.6742705271818"/>
    <n v="3000"/>
    <n v="-2400"/>
    <n v="0"/>
    <n v="0"/>
    <n v="0"/>
    <n v="0"/>
    <n v="0"/>
    <n v="0"/>
    <n v="300"/>
    <n v="0"/>
    <n v="0"/>
    <n v="60"/>
    <n v="0"/>
    <n v="30"/>
    <n v="83"/>
    <n v="4582.5000000000009"/>
    <n v="-276"/>
    <n v="0"/>
    <n v="0"/>
    <n v="0"/>
    <n v="0"/>
    <n v="0"/>
    <n v="0"/>
    <n v="76.462723256941743"/>
    <n v="771.21154727023929"/>
    <n v="-48.000000000000007"/>
    <n v="-4.5"/>
  </r>
  <r>
    <x v="4"/>
    <x v="1"/>
    <x v="4"/>
    <n v="6465.7468406672842"/>
    <n v="3000"/>
    <n v="0"/>
    <n v="0"/>
    <n v="0"/>
    <n v="0"/>
    <n v="0"/>
    <n v="0"/>
    <n v="0"/>
    <n v="300"/>
    <n v="0"/>
    <n v="0"/>
    <n v="300"/>
    <n v="0"/>
    <n v="30"/>
    <n v="83"/>
    <n v="3054.6945000000005"/>
    <n v="-840.00000000000011"/>
    <n v="0"/>
    <n v="0"/>
    <n v="0"/>
    <n v="0"/>
    <n v="0"/>
    <n v="0"/>
    <n v="76.462723256941743"/>
    <n v="514.08961741034148"/>
    <n v="-48.000000000000007"/>
    <n v="-4.5"/>
  </r>
  <r>
    <x v="5"/>
    <x v="2"/>
    <x v="5"/>
    <n v="4297.2617610911375"/>
    <n v="3000"/>
    <n v="0"/>
    <n v="0"/>
    <n v="0"/>
    <n v="0"/>
    <n v="0"/>
    <n v="0"/>
    <n v="0"/>
    <n v="300"/>
    <n v="0"/>
    <n v="0"/>
    <n v="300"/>
    <n v="0"/>
    <n v="30"/>
    <n v="83"/>
    <n v="0"/>
    <n v="0"/>
    <n v="0"/>
    <n v="557.48255823996044"/>
    <n v="0"/>
    <n v="55.748255823996033"/>
    <n v="154.23684111305573"/>
    <n v="0"/>
    <n v="76.462723256941743"/>
    <n v="0"/>
    <n v="-234.62758234134793"/>
    <n v="-25.041035001468682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E52CC3-C5EE-D647-8B24-47717CD0AD17}" name="Pivottabell7" cacheId="827" dataOnRows="1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B82:J110" firstHeaderRow="1" firstDataRow="2" firstDataCol="1"/>
  <pivotFields count="31">
    <pivotField axis="axisCol" showAll="0">
      <items count="8">
        <item x="6"/>
        <item x="0"/>
        <item x="1"/>
        <item x="2"/>
        <item x="3"/>
        <item x="4"/>
        <item x="5"/>
        <item t="default"/>
      </items>
    </pivotField>
    <pivotField showAll="0">
      <items count="5">
        <item x="3"/>
        <item x="2"/>
        <item x="1"/>
        <item x="0"/>
        <item t="default"/>
      </items>
    </pivotField>
    <pivotField showAll="0">
      <items count="8">
        <item x="6"/>
        <item x="1"/>
        <item x="4"/>
        <item x="3"/>
        <item x="2"/>
        <item x="0"/>
        <item x="5"/>
        <item t="default"/>
      </items>
    </pivotField>
    <pivotField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</pivotFields>
  <rowFields count="1">
    <field x="-2"/>
  </rowFields>
  <rowItems count="2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27">
    <dataField name="Summer av A1-A3" fld="4" baseField="0" baseItem="0"/>
    <dataField name="Summer av A1-A3 ombrkt" fld="5" baseField="0" baseItem="0"/>
    <dataField name="Summer av A1-A3 overskudd" fld="6" baseField="0" baseItem="0"/>
    <dataField name="Summer av A1-A3 bevaring" fld="7" baseField="0" baseItem="0"/>
    <dataField name="Summer av A1-A3 biokull produksjon" fld="8" baseField="0" baseItem="0"/>
    <dataField name="Summer av A1-A3 biokull fratrekk" fld="9" baseField="0" baseItem="0"/>
    <dataField name="Summer av A1-A3 ettårigevekst produksjon" fld="10" baseField="0" baseItem="0"/>
    <dataField name="Summer av A1-A3 ettårigevekst fratrekk" fld="11" baseField="0" baseItem="0"/>
    <dataField name="Summer av A4" fld="12" baseField="0" baseItem="0"/>
    <dataField name="Summer av A4 biokull" fld="13" baseField="0" baseItem="0"/>
    <dataField name="Summer av A4 ettårigevekster" fld="14" baseField="0" baseItem="0"/>
    <dataField name="Summer av A5 kapp og svinn produksjon" fld="15" baseField="0" baseItem="0"/>
    <dataField name="Summer av A5 kapp og svinn spesiell tilfeller" fld="16" baseField="0" baseItem="0"/>
    <dataField name="Summer av A5 kapp og svinn transport til byggeplass" fld="17" baseField="0" baseItem="0"/>
    <dataField name="Summer av A5 kapp og svinn transport fra byggeplass" fld="18" baseField="0" baseItem="0"/>
    <dataField name="Summer av A5 kapp og svinn forbrenning" fld="19" baseField="0" baseItem="0"/>
    <dataField name="Summer av B1 _x000a_biogent opptak" fld="20" baseField="0" baseItem="0"/>
    <dataField name="Summer av B1 sementopptak" fld="21" baseField="0" baseItem="0"/>
    <dataField name="Summer av B4 _x000a_produksjon" fld="22" baseField="0" baseItem="0"/>
    <dataField name="Summer av B4 spesiell tilfeller" fld="23" baseField="0" baseItem="0"/>
    <dataField name="Summer av B4 transport til byggeplass" fld="24" baseField="0" baseItem="0"/>
    <dataField name="Summer av B4 transport fra byggeplass" fld="25" baseField="0" baseItem="0"/>
    <dataField name="Summer av B4 _x000a_forbrenning" fld="26" baseField="0" baseItem="0"/>
    <dataField name="Summer av C2" fld="27" baseField="0" baseItem="0"/>
    <dataField name="Summer av C3" fld="28" baseField="0" baseItem="0"/>
    <dataField name="Summer av D ombrukbarhet" fld="29" baseField="0" baseItem="0"/>
    <dataField name="Summer av D materialgjenvinning" fld="30" baseField="0" baseItem="0"/>
  </dataFields>
  <formats count="15">
    <format dxfId="102">
      <pivotArea type="all" dataOnly="0" outline="0" fieldPosition="0"/>
    </format>
    <format dxfId="103">
      <pivotArea outline="0" collapsedLevelsAreSubtotals="1" fieldPosition="0"/>
    </format>
    <format dxfId="104">
      <pivotArea dataOnly="0" labelOnly="1" grandRow="1" outline="0" fieldPosition="0"/>
    </format>
    <format dxfId="105">
      <pivotArea collapsedLevelsAreSubtotals="1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06">
      <pivotArea type="origin" dataOnly="0" labelOnly="1" outline="0" fieldPosition="0"/>
    </format>
    <format dxfId="107">
      <pivotArea field="0" type="button" dataOnly="0" labelOnly="1" outline="0" axis="axisCol" fieldPosition="0"/>
    </format>
    <format dxfId="108">
      <pivotArea type="topRight" dataOnly="0" labelOnly="1" outline="0" fieldPosition="0"/>
    </format>
    <format dxfId="109">
      <pivotArea field="-2" type="button" dataOnly="0" labelOnly="1" outline="0" axis="axisRow" fieldPosition="0"/>
    </format>
    <format dxfId="110">
      <pivotArea dataOnly="0" labelOnly="1" fieldPosition="0">
        <references count="1">
          <reference field="0" count="0"/>
        </references>
      </pivotArea>
    </format>
    <format dxfId="111">
      <pivotArea dataOnly="0" labelOnly="1" grandCol="1" outline="0" fieldPosition="0"/>
    </format>
    <format dxfId="112">
      <pivotArea dataOnly="0" labelOnly="1" outline="0" fieldPosition="0">
        <references count="1">
          <reference field="4294967294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3">
      <pivotArea type="all" dataOnly="0" outline="0" fieldPosition="0"/>
    </format>
    <format dxfId="114">
      <pivotArea outline="0" collapsedLevelsAreSubtotals="1" fieldPosition="0">
        <references count="1">
          <reference field="0" count="6" selected="0">
            <x v="1"/>
            <x v="2"/>
            <x v="3"/>
            <x v="4"/>
            <x v="5"/>
            <x v="6"/>
          </reference>
        </references>
      </pivotArea>
    </format>
    <format dxfId="115">
      <pivotArea grandCol="1" outline="0" collapsedLevelsAreSubtotals="1" fieldPosition="0"/>
    </format>
    <format dxfId="11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F5BFFB-9150-DE42-82CC-00B91BF261E3}" name="Totalutslipp" displayName="Totalutslipp" ref="B89:O120" totalsRowShown="0" headerRowDxfId="67" dataDxfId="66" headerRowBorderDxfId="64" tableBorderDxfId="65" totalsRowBorderDxfId="63">
  <autoFilter ref="B89:O120" xr:uid="{90F5BFFB-9150-DE42-82CC-00B91BF261E3}"/>
  <tableColumns count="14">
    <tableColumn id="1" xr3:uid="{DFA450B7-0B29-9A49-B985-28EA18FB4C2C}" name="År" dataDxfId="62"/>
    <tableColumn id="2" xr3:uid="{CD98BD2F-F8D3-3242-AA68-1A39FD5851A3}" name="Småhus" dataDxfId="61">
      <calculatedColumnFormula>H16</calculatedColumnFormula>
    </tableColumn>
    <tableColumn id="3" xr3:uid="{CD20E38E-A5BA-C643-90F7-D09909C33799}" name="Boligblokk" dataDxfId="60">
      <calculatedColumnFormula>K16</calculatedColumnFormula>
    </tableColumn>
    <tableColumn id="4" xr3:uid="{8AEC1945-3E7C-2C47-B331-EE9FE9C29E5A}" name="Barnehage" dataDxfId="59">
      <calculatedColumnFormula>N16</calculatedColumnFormula>
    </tableColumn>
    <tableColumn id="5" xr3:uid="{2473615C-275D-0649-96BC-641FD44175A7}" name="Skolebygg" dataDxfId="58">
      <calculatedColumnFormula>Q16</calculatedColumnFormula>
    </tableColumn>
    <tableColumn id="6" xr3:uid="{1C332055-8419-4C43-9C68-666E65F101B9}" name="Kontor" dataDxfId="57">
      <calculatedColumnFormula>T16</calculatedColumnFormula>
    </tableColumn>
    <tableColumn id="7" xr3:uid="{3D3E98EA-A77B-CF4A-8C19-44E5F5F64156}" name="Universitet/Høyskole" dataDxfId="56">
      <calculatedColumnFormula>W16</calculatedColumnFormula>
    </tableColumn>
    <tableColumn id="8" xr3:uid="{108F27FC-2EA7-7A42-A386-42D6D4E54998}" name="Sykehus" dataDxfId="55">
      <calculatedColumnFormula>Z16</calculatedColumnFormula>
    </tableColumn>
    <tableColumn id="9" xr3:uid="{FD85EC53-A969-8A48-95D2-732887BB4B00}" name="Sykehjem" dataDxfId="54">
      <calculatedColumnFormula>AC16</calculatedColumnFormula>
    </tableColumn>
    <tableColumn id="10" xr3:uid="{95C93E5B-A053-9C4D-A428-AF126028FCA3}" name="Hotellbygning" dataDxfId="53">
      <calculatedColumnFormula>AF16</calculatedColumnFormula>
    </tableColumn>
    <tableColumn id="11" xr3:uid="{D00F078E-AD39-2845-9B0F-6936795B798B}" name="Idrettsbygning/Flerbrukshall" dataDxfId="52">
      <calculatedColumnFormula>AI16</calculatedColumnFormula>
    </tableColumn>
    <tableColumn id="12" xr3:uid="{E9D318D8-ABC3-4F43-8FE7-34969FA93C42}" name="Forretning/Næring" dataDxfId="51">
      <calculatedColumnFormula>AL16</calculatedColumnFormula>
    </tableColumn>
    <tableColumn id="13" xr3:uid="{1ABBC19E-F7E3-C240-904C-4B7D6F4A3DBF}" name="Kulturbygning" dataDxfId="50">
      <calculatedColumnFormula>AO16</calculatedColumnFormula>
    </tableColumn>
    <tableColumn id="14" xr3:uid="{688B5E31-B5F4-FA42-9D8B-4EE4888E1BF6}" name="Lett industri/ Verksted" dataDxfId="49">
      <calculatedColumnFormula>AR16</calculatedColumnFormula>
    </tableColumn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B29D6B-174B-564F-8467-DA2C3FE73CEC}" name="Energiutslipp" displayName="Energiutslipp" ref="Q89:AD120" totalsRowShown="0" headerRowDxfId="48" dataDxfId="47" headerRowBorderDxfId="45" tableBorderDxfId="46" totalsRowBorderDxfId="44">
  <autoFilter ref="Q89:AD120" xr:uid="{A9B29D6B-174B-564F-8467-DA2C3FE73CEC}"/>
  <tableColumns count="14">
    <tableColumn id="1" xr3:uid="{473F42A3-E3A7-7444-ADF7-B0FF23CC3E83}" name="År" dataDxfId="43"/>
    <tableColumn id="2" xr3:uid="{95D5B02F-403A-F945-B464-8C317804A419}" name="Småhus" dataDxfId="42">
      <calculatedColumnFormula>G16</calculatedColumnFormula>
    </tableColumn>
    <tableColumn id="3" xr3:uid="{11559E5A-3AFE-5A40-83F7-5037688868F2}" name="Boligblokk" dataDxfId="41">
      <calculatedColumnFormula>J16</calculatedColumnFormula>
    </tableColumn>
    <tableColumn id="4" xr3:uid="{7D038ED4-7368-584C-83DF-3A63CE428C0F}" name="Barnehage" dataDxfId="40">
      <calculatedColumnFormula>M16</calculatedColumnFormula>
    </tableColumn>
    <tableColumn id="5" xr3:uid="{906A0990-0516-824F-8CA7-F608E2E2E228}" name="Skolebygg" dataDxfId="39">
      <calculatedColumnFormula>P16</calculatedColumnFormula>
    </tableColumn>
    <tableColumn id="6" xr3:uid="{0694A423-C783-004C-A994-0A444F5AECD8}" name="Kontor" dataDxfId="38">
      <calculatedColumnFormula>S16</calculatedColumnFormula>
    </tableColumn>
    <tableColumn id="7" xr3:uid="{900841E2-F03F-124D-958C-E5BDC72B0E45}" name="Universitet/Høyskole" dataDxfId="37">
      <calculatedColumnFormula>V16</calculatedColumnFormula>
    </tableColumn>
    <tableColumn id="8" xr3:uid="{76EAE00C-9222-0C4A-90FB-34554273463C}" name="Sykehus" dataDxfId="36">
      <calculatedColumnFormula>Y16</calculatedColumnFormula>
    </tableColumn>
    <tableColumn id="9" xr3:uid="{F0FB1FBE-2541-FF4A-A269-D96739208D9F}" name="Sykehjem" dataDxfId="35">
      <calculatedColumnFormula>AB16</calculatedColumnFormula>
    </tableColumn>
    <tableColumn id="10" xr3:uid="{44317F73-DBBE-B640-8B9B-6D4F8300EAF6}" name="Hotellbygning" dataDxfId="34">
      <calculatedColumnFormula>AE16</calculatedColumnFormula>
    </tableColumn>
    <tableColumn id="11" xr3:uid="{10ED2680-E061-5440-ACE2-A4D6D82D159E}" name="Idrettsbygning/Flerbrukshall" dataDxfId="33">
      <calculatedColumnFormula>AH16</calculatedColumnFormula>
    </tableColumn>
    <tableColumn id="12" xr3:uid="{1D98B78E-88AA-C34A-B908-DD0510EE8F63}" name="Forretning/Næring" dataDxfId="32">
      <calculatedColumnFormula>AK16</calculatedColumnFormula>
    </tableColumn>
    <tableColumn id="13" xr3:uid="{7D1502D4-33CC-3D49-9C8B-93B7A260D45F}" name="Kulturbygning" dataDxfId="31">
      <calculatedColumnFormula>AN16</calculatedColumnFormula>
    </tableColumn>
    <tableColumn id="14" xr3:uid="{C9E852A3-E0C6-4240-B23A-476C102242B2}" name="Lett industri/ Verksted" dataDxfId="30">
      <calculatedColumnFormula>AQ16</calculatedColumnFormula>
    </tableColumn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BF146E-33A9-044C-B04E-26E758202E3F}" name="Materialutslipp" displayName="Materialutslipp" ref="AF89:AS120" totalsRowShown="0" headerRowDxfId="29" dataDxfId="28" headerRowBorderDxfId="26" tableBorderDxfId="27" totalsRowBorderDxfId="25">
  <autoFilter ref="AF89:AS120" xr:uid="{93BF146E-33A9-044C-B04E-26E758202E3F}"/>
  <tableColumns count="14">
    <tableColumn id="1" xr3:uid="{A60C739D-DF47-7444-B786-1641AE6FDE78}" name="År" dataDxfId="24"/>
    <tableColumn id="2" xr3:uid="{7E825FDB-177B-2D46-8E8B-603055BEB92E}" name="Småhus" dataDxfId="23">
      <calculatedColumnFormula>F16</calculatedColumnFormula>
    </tableColumn>
    <tableColumn id="3" xr3:uid="{4449A074-BFC5-6F42-BB8B-D4EEC05ECDDF}" name="Boligblokk" dataDxfId="22">
      <calculatedColumnFormula>I16</calculatedColumnFormula>
    </tableColumn>
    <tableColumn id="4" xr3:uid="{4573D9F3-9D4E-204E-A19D-B983DEA5D024}" name="Barnehage" dataDxfId="21">
      <calculatedColumnFormula>L16</calculatedColumnFormula>
    </tableColumn>
    <tableColumn id="5" xr3:uid="{C7762119-2420-5149-9DDA-972391B549F6}" name="Skolebygg" dataDxfId="20">
      <calculatedColumnFormula>O16</calculatedColumnFormula>
    </tableColumn>
    <tableColumn id="6" xr3:uid="{3DBD8B51-05A6-F841-83BD-087768A30650}" name="Kontor" dataDxfId="19">
      <calculatedColumnFormula>R16</calculatedColumnFormula>
    </tableColumn>
    <tableColumn id="7" xr3:uid="{06F2EB4B-D8CF-5C4E-B162-7A448531E30A}" name="Universitet/Høyskole" dataDxfId="18">
      <calculatedColumnFormula>U16</calculatedColumnFormula>
    </tableColumn>
    <tableColumn id="8" xr3:uid="{D1F415B8-5C81-3A49-A2C9-BE6DAF8772F8}" name="Sykehus" dataDxfId="17">
      <calculatedColumnFormula>X16</calculatedColumnFormula>
    </tableColumn>
    <tableColumn id="9" xr3:uid="{2A250155-4C47-E946-B267-1DE87D81045E}" name="Sykehjem" dataDxfId="16">
      <calculatedColumnFormula>AA16</calculatedColumnFormula>
    </tableColumn>
    <tableColumn id="10" xr3:uid="{C450919D-8F33-014D-B8C6-96631E3F4ACC}" name="Hotellbygning" dataDxfId="15">
      <calculatedColumnFormula>AD16</calculatedColumnFormula>
    </tableColumn>
    <tableColumn id="11" xr3:uid="{B6CCB84D-904B-4D4B-9C9E-0F02A0D8E6A6}" name="Idrettsbygning/Flerbrukshall" dataDxfId="14">
      <calculatedColumnFormula>AG16</calculatedColumnFormula>
    </tableColumn>
    <tableColumn id="12" xr3:uid="{7C629764-358C-3B44-82B0-A15FF87B5DCC}" name="Forretning/Næring" dataDxfId="13">
      <calculatedColumnFormula>AJ16</calculatedColumnFormula>
    </tableColumn>
    <tableColumn id="13" xr3:uid="{A887F235-0A45-5947-B737-B08545997BAE}" name="Kulturbygning" dataDxfId="12">
      <calculatedColumnFormula>AM16</calculatedColumnFormula>
    </tableColumn>
    <tableColumn id="14" xr3:uid="{9888F908-7A0D-7E41-AAB4-51E27765748C}" name="Lett industri/ Verksted" dataDxfId="11">
      <calculatedColumnFormula>AP16</calculatedColumnFormula>
    </tableColumn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11ED92-C733-9E48-9D61-83F4DBF33B75}" name="Tabell1" displayName="Tabell1" ref="B44:F56" totalsRowShown="0" headerRowDxfId="8" dataDxfId="7" headerRowBorderDxfId="5" tableBorderDxfId="6">
  <autoFilter ref="B44:F56" xr:uid="{6011ED92-C733-9E48-9D61-83F4DBF33B75}"/>
  <sortState xmlns:xlrd2="http://schemas.microsoft.com/office/spreadsheetml/2017/richdata2" ref="B45:F56">
    <sortCondition ref="B44:B56"/>
  </sortState>
  <tableColumns count="5">
    <tableColumn id="1" xr3:uid="{C8092190-4005-0F41-B108-8CC1EE887E02}" name="Avfallskategori" dataDxfId="4"/>
    <tableColumn id="2" xr3:uid="{5883E4DC-7B75-8549-B67B-FDBDA37E0E53}" name="Fylmasser" dataDxfId="3"/>
    <tableColumn id="3" xr3:uid="{829FB220-A254-504B-8F9B-5DB3F525F8EB}" name="Forbrenning" dataDxfId="2"/>
    <tableColumn id="4" xr3:uid="{D9C6A3D1-FE71-1C47-BE97-77B8DCB0A693}" name="Deponi" dataDxfId="1"/>
    <tableColumn id="5" xr3:uid="{C76E8162-6FFC-C543-B018-2AFD549D2C64}" name="Gjenvinni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FutureBuilt-mal">
  <a:themeElements>
    <a:clrScheme name="FutureBuilt">
      <a:dk1>
        <a:sysClr val="windowText" lastClr="000000"/>
      </a:dk1>
      <a:lt1>
        <a:sysClr val="window" lastClr="FFFFFF"/>
      </a:lt1>
      <a:dk2>
        <a:srgbClr val="235D5A"/>
      </a:dk2>
      <a:lt2>
        <a:srgbClr val="17AF8A"/>
      </a:lt2>
      <a:accent1>
        <a:srgbClr val="A5C3E1"/>
      </a:accent1>
      <a:accent2>
        <a:srgbClr val="FFF0C3"/>
      </a:accent2>
      <a:accent3>
        <a:srgbClr val="E6FA3C"/>
      </a:accent3>
      <a:accent4>
        <a:srgbClr val="EB6E58"/>
      </a:accent4>
      <a:accent5>
        <a:srgbClr val="C8E6E4"/>
      </a:accent5>
      <a:accent6>
        <a:srgbClr val="FAA05A"/>
      </a:accent6>
      <a:hlink>
        <a:srgbClr val="4176BE"/>
      </a:hlink>
      <a:folHlink>
        <a:srgbClr val="9655A0"/>
      </a:folHlink>
    </a:clrScheme>
    <a:fontScheme name="FutureBuilt">
      <a:majorFont>
        <a:latin typeface="Replic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Helvetica"/>
        <a:ea typeface=""/>
        <a:cs typeface=""/>
        <a:font script="Jpan" typeface="ＭＳ Ｐ明朝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501FB-ECC2-0B4B-B619-B36DDBC7A051}">
  <sheetPr codeName="Sheet1"/>
  <dimension ref="B3:D49"/>
  <sheetViews>
    <sheetView zoomScale="130" zoomScaleNormal="130" workbookViewId="0">
      <selection activeCell="G13" sqref="G13"/>
    </sheetView>
  </sheetViews>
  <sheetFormatPr defaultColWidth="11" defaultRowHeight="15"/>
  <cols>
    <col min="1" max="1" width="6.625" style="1" customWidth="1"/>
    <col min="2" max="2" width="12.375" style="1" customWidth="1"/>
    <col min="3" max="3" width="46.625" style="1" customWidth="1"/>
    <col min="4" max="4" width="10.125" style="1" customWidth="1"/>
    <col min="5" max="5" width="8.125" style="1" customWidth="1"/>
    <col min="6" max="16384" width="11" style="1"/>
  </cols>
  <sheetData>
    <row r="3" spans="2:4" ht="36.950000000000003">
      <c r="B3" s="699" t="s">
        <v>0</v>
      </c>
      <c r="C3" s="699"/>
      <c r="D3" s="699"/>
    </row>
    <row r="4" spans="2:4" ht="14.25" customHeight="1">
      <c r="B4" s="683"/>
    </row>
    <row r="5" spans="2:4">
      <c r="B5" s="684" t="s">
        <v>1</v>
      </c>
      <c r="C5" s="684" t="s">
        <v>2</v>
      </c>
      <c r="D5" s="684" t="s">
        <v>3</v>
      </c>
    </row>
    <row r="6" spans="2:4">
      <c r="B6" s="686">
        <v>45453</v>
      </c>
      <c r="C6" s="685" t="s">
        <v>4</v>
      </c>
      <c r="D6" s="685" t="s">
        <v>5</v>
      </c>
    </row>
    <row r="7" spans="2:4">
      <c r="B7" s="686">
        <v>45504</v>
      </c>
      <c r="C7" s="685" t="s">
        <v>6</v>
      </c>
      <c r="D7" s="685" t="s">
        <v>7</v>
      </c>
    </row>
    <row r="8" spans="2:4">
      <c r="B8" s="686">
        <v>45784</v>
      </c>
      <c r="C8" s="685" t="s">
        <v>8</v>
      </c>
      <c r="D8" s="685" t="s">
        <v>9</v>
      </c>
    </row>
    <row r="9" spans="2:4">
      <c r="B9" s="686">
        <v>45784</v>
      </c>
      <c r="C9" s="685" t="s">
        <v>10</v>
      </c>
      <c r="D9" s="685" t="s">
        <v>9</v>
      </c>
    </row>
    <row r="10" spans="2:4">
      <c r="B10" s="686">
        <v>45995</v>
      </c>
      <c r="C10" s="685" t="s">
        <v>10</v>
      </c>
      <c r="D10" s="685" t="s">
        <v>9</v>
      </c>
    </row>
    <row r="11" spans="2:4">
      <c r="B11" s="685"/>
      <c r="C11" s="685"/>
      <c r="D11" s="685"/>
    </row>
    <row r="12" spans="2:4">
      <c r="B12" s="685"/>
      <c r="C12" s="685"/>
      <c r="D12" s="685"/>
    </row>
    <row r="13" spans="2:4">
      <c r="B13" s="685"/>
      <c r="C13" s="685"/>
      <c r="D13" s="685"/>
    </row>
    <row r="14" spans="2:4">
      <c r="B14" s="685"/>
      <c r="C14" s="685"/>
      <c r="D14" s="685"/>
    </row>
    <row r="15" spans="2:4">
      <c r="B15" s="685"/>
      <c r="C15" s="685"/>
      <c r="D15" s="685"/>
    </row>
    <row r="16" spans="2:4">
      <c r="B16" s="685"/>
      <c r="C16" s="685"/>
      <c r="D16" s="685"/>
    </row>
    <row r="17" spans="2:4">
      <c r="B17" s="685"/>
      <c r="C17" s="685"/>
      <c r="D17" s="685"/>
    </row>
    <row r="18" spans="2:4">
      <c r="B18" s="685"/>
      <c r="C18" s="685"/>
      <c r="D18" s="685"/>
    </row>
    <row r="19" spans="2:4">
      <c r="B19" s="685"/>
      <c r="C19" s="685"/>
      <c r="D19" s="685"/>
    </row>
    <row r="20" spans="2:4">
      <c r="B20" s="685"/>
      <c r="C20" s="685"/>
      <c r="D20" s="685"/>
    </row>
    <row r="21" spans="2:4">
      <c r="B21" s="685"/>
      <c r="C21" s="685"/>
      <c r="D21" s="685"/>
    </row>
    <row r="22" spans="2:4">
      <c r="B22" s="685"/>
      <c r="C22" s="685"/>
      <c r="D22" s="685"/>
    </row>
    <row r="23" spans="2:4">
      <c r="B23" s="685"/>
      <c r="C23" s="685"/>
      <c r="D23" s="685"/>
    </row>
    <row r="24" spans="2:4">
      <c r="B24" s="685"/>
      <c r="C24" s="685"/>
      <c r="D24" s="685"/>
    </row>
    <row r="25" spans="2:4">
      <c r="B25" s="685"/>
      <c r="C25" s="685"/>
      <c r="D25" s="685"/>
    </row>
    <row r="26" spans="2:4">
      <c r="B26" s="685"/>
      <c r="C26" s="685"/>
      <c r="D26" s="685"/>
    </row>
    <row r="27" spans="2:4">
      <c r="B27" s="685"/>
      <c r="C27" s="685"/>
      <c r="D27" s="685"/>
    </row>
    <row r="32" spans="2:4" ht="15.95">
      <c r="D32" s="681"/>
    </row>
    <row r="34" spans="3:4" ht="15.95">
      <c r="D34" s="681"/>
    </row>
    <row r="35" spans="3:4" ht="15.95">
      <c r="D35" s="681"/>
    </row>
    <row r="37" spans="3:4" ht="18">
      <c r="C37" s="682"/>
    </row>
    <row r="38" spans="3:4" ht="18">
      <c r="C38" s="682"/>
    </row>
    <row r="39" spans="3:4" ht="18">
      <c r="C39" s="682"/>
    </row>
    <row r="40" spans="3:4" ht="18">
      <c r="C40" s="682"/>
    </row>
    <row r="41" spans="3:4" ht="18">
      <c r="C41" s="682"/>
    </row>
    <row r="42" spans="3:4" ht="18">
      <c r="C42" s="682"/>
    </row>
    <row r="43" spans="3:4" ht="18">
      <c r="C43" s="682"/>
    </row>
    <row r="44" spans="3:4" ht="18">
      <c r="C44" s="682"/>
    </row>
    <row r="45" spans="3:4" ht="18">
      <c r="C45" s="682"/>
    </row>
    <row r="46" spans="3:4" ht="18">
      <c r="C46" s="682"/>
    </row>
    <row r="47" spans="3:4" ht="18">
      <c r="C47" s="682"/>
    </row>
    <row r="48" spans="3:4" ht="18">
      <c r="C48" s="682"/>
    </row>
    <row r="49" spans="3:3" ht="18">
      <c r="C49" s="682"/>
    </row>
  </sheetData>
  <sheetProtection algorithmName="SHA-512" hashValue="G1bhL23VhnwW2GtbI2P+3cSR1JGMFnBwn9JpSZ5gkRY1h39SHxr4y9RjZyME+JV7NRv4Pf2sKvaTGj9RGV8XKA==" saltValue="dp7ZpmNYUQCm0lSF7Xh9Rg==" spinCount="100000" sheet="1" objects="1" scenarios="1"/>
  <mergeCells count="1">
    <mergeCell ref="B3:D3"/>
  </mergeCells>
  <pageMargins left="0.7" right="0.7" top="0.75" bottom="0.75" header="0.3" footer="0.3"/>
  <headerFooter>
    <oddFooter>&amp;C_x000D_&amp;1#&amp;"Verdana"&amp;7&amp;K000000 Confidential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ECCC4-91BE-3A43-9BB3-DD6249B4959A}">
  <sheetPr codeName="Sheet10">
    <tabColor theme="8" tint="-0.249977111117893"/>
  </sheetPr>
  <dimension ref="B2:AF158"/>
  <sheetViews>
    <sheetView zoomScale="80" zoomScaleNormal="80" workbookViewId="0">
      <selection activeCell="AJ14" sqref="AJ14"/>
    </sheetView>
  </sheetViews>
  <sheetFormatPr defaultColWidth="9.125" defaultRowHeight="14.1"/>
  <cols>
    <col min="1" max="1" width="2.625" style="303" customWidth="1"/>
    <col min="2" max="2" width="22.875" style="303" customWidth="1"/>
    <col min="3" max="3" width="22.625" style="304" bestFit="1" customWidth="1"/>
    <col min="4" max="4" width="25.625" style="304" customWidth="1"/>
    <col min="5" max="5" width="26.5" style="303" bestFit="1" customWidth="1"/>
    <col min="6" max="6" width="23.375" style="303" bestFit="1" customWidth="1"/>
    <col min="7" max="7" width="12.125" style="303" bestFit="1" customWidth="1"/>
    <col min="8" max="8" width="11.625" style="303" bestFit="1" customWidth="1"/>
    <col min="9" max="9" width="13.375" style="8" bestFit="1" customWidth="1"/>
    <col min="10" max="10" width="16.875" style="8" bestFit="1" customWidth="1"/>
    <col min="11" max="11" width="11.125" style="305" bestFit="1" customWidth="1"/>
    <col min="12" max="12" width="21.875" style="305" bestFit="1" customWidth="1"/>
    <col min="13" max="13" width="15" style="305" bestFit="1" customWidth="1"/>
    <col min="14" max="14" width="14.625" style="303" bestFit="1" customWidth="1"/>
    <col min="15" max="15" width="17.875" style="306" bestFit="1" customWidth="1"/>
    <col min="16" max="16" width="20.5" style="306" customWidth="1"/>
    <col min="17" max="18" width="17.125" style="306" customWidth="1"/>
    <col min="19" max="19" width="25" style="306" bestFit="1" customWidth="1"/>
    <col min="20" max="20" width="20.625" style="306" customWidth="1"/>
    <col min="21" max="21" width="16.875" style="306" customWidth="1"/>
    <col min="22" max="23" width="17.875" style="306" customWidth="1"/>
    <col min="24" max="24" width="12.125" style="303" bestFit="1" customWidth="1"/>
    <col min="25" max="25" width="7.5" style="303" bestFit="1" customWidth="1"/>
    <col min="26" max="26" width="8.5" style="303" bestFit="1" customWidth="1"/>
    <col min="27" max="27" width="20.125" style="303" bestFit="1" customWidth="1"/>
    <col min="28" max="28" width="8.5" style="303" bestFit="1" customWidth="1"/>
    <col min="29" max="29" width="11" style="303" bestFit="1" customWidth="1"/>
    <col min="30" max="30" width="9.375" style="303" bestFit="1" customWidth="1"/>
    <col min="31" max="31" width="14.125" style="303" bestFit="1" customWidth="1"/>
    <col min="32" max="32" width="9.5" style="303" bestFit="1" customWidth="1"/>
    <col min="33" max="16384" width="9.125" style="303"/>
  </cols>
  <sheetData>
    <row r="2" spans="2:32" ht="36.950000000000003">
      <c r="B2" s="407" t="s">
        <v>399</v>
      </c>
      <c r="C2" s="8"/>
      <c r="D2" s="8"/>
      <c r="E2" s="8"/>
      <c r="F2" s="8"/>
      <c r="G2" s="8"/>
      <c r="H2" s="8"/>
    </row>
    <row r="3" spans="2:32">
      <c r="B3" s="20" t="s">
        <v>400</v>
      </c>
      <c r="C3" s="8"/>
      <c r="D3" s="8"/>
      <c r="E3" s="8"/>
      <c r="F3" s="8"/>
      <c r="G3" s="8"/>
      <c r="H3" s="8"/>
    </row>
    <row r="4" spans="2:32">
      <c r="B4" s="8" t="s">
        <v>401</v>
      </c>
      <c r="C4" s="8"/>
      <c r="D4" s="8"/>
      <c r="E4" s="8"/>
      <c r="F4" s="8"/>
      <c r="G4" s="8"/>
      <c r="H4" s="8"/>
    </row>
    <row r="5" spans="2:32">
      <c r="B5" s="8"/>
      <c r="C5" s="8"/>
      <c r="D5" s="8"/>
      <c r="E5" s="8"/>
      <c r="F5" s="8"/>
      <c r="G5" s="8"/>
      <c r="H5" s="8"/>
    </row>
    <row r="6" spans="2:32">
      <c r="B6" s="8"/>
      <c r="C6" s="8"/>
      <c r="D6" s="8"/>
      <c r="E6" s="8"/>
      <c r="F6" s="8"/>
      <c r="G6" s="8"/>
      <c r="H6" s="8"/>
    </row>
    <row r="8" spans="2:32" s="8" customFormat="1" ht="18.95" customHeight="1">
      <c r="B8" s="745"/>
      <c r="C8" s="746"/>
      <c r="D8" s="747"/>
      <c r="E8" s="751"/>
      <c r="F8" s="751"/>
      <c r="G8" s="751"/>
      <c r="H8" s="751"/>
      <c r="I8" s="751"/>
      <c r="J8" s="751"/>
      <c r="K8" s="751"/>
      <c r="L8" s="751"/>
      <c r="M8" s="751"/>
      <c r="N8" s="751"/>
      <c r="O8" s="751"/>
      <c r="P8" s="751"/>
      <c r="Q8" s="751"/>
      <c r="R8" s="751"/>
      <c r="S8" s="751"/>
      <c r="T8" s="751"/>
      <c r="U8" s="751"/>
      <c r="V8" s="751"/>
      <c r="W8" s="751"/>
      <c r="X8" s="751"/>
      <c r="Y8" s="751"/>
      <c r="Z8" s="751"/>
      <c r="AA8" s="751"/>
      <c r="AB8" s="751"/>
      <c r="AC8" s="751"/>
      <c r="AD8" s="751"/>
      <c r="AE8" s="751"/>
      <c r="AF8" s="752"/>
    </row>
    <row r="9" spans="2:32" s="351" customFormat="1" ht="24.95">
      <c r="B9" s="748" t="s">
        <v>267</v>
      </c>
      <c r="C9" s="749"/>
      <c r="D9" s="750"/>
      <c r="E9" s="749" t="s">
        <v>268</v>
      </c>
      <c r="F9" s="750"/>
      <c r="G9" s="748" t="s">
        <v>269</v>
      </c>
      <c r="H9" s="749"/>
      <c r="I9" s="749"/>
      <c r="J9" s="749"/>
      <c r="K9" s="750"/>
      <c r="L9" s="759" t="s">
        <v>270</v>
      </c>
      <c r="M9" s="760"/>
      <c r="N9" s="761"/>
      <c r="O9" s="753" t="s">
        <v>402</v>
      </c>
      <c r="P9" s="754"/>
      <c r="Q9" s="754"/>
      <c r="R9" s="754"/>
      <c r="S9" s="754"/>
      <c r="T9" s="754"/>
      <c r="U9" s="754"/>
      <c r="V9" s="755"/>
      <c r="W9" s="282"/>
      <c r="X9" s="756" t="s">
        <v>272</v>
      </c>
      <c r="Y9" s="754"/>
      <c r="Z9" s="754"/>
      <c r="AA9" s="755"/>
      <c r="AB9" s="749" t="s">
        <v>273</v>
      </c>
      <c r="AC9" s="749"/>
      <c r="AD9" s="749"/>
      <c r="AE9" s="749"/>
      <c r="AF9" s="750"/>
    </row>
    <row r="10" spans="2:32" s="353" customFormat="1" ht="17.100000000000001">
      <c r="B10" s="105" t="s">
        <v>274</v>
      </c>
      <c r="C10" s="107" t="s">
        <v>274</v>
      </c>
      <c r="D10" s="108" t="s">
        <v>274</v>
      </c>
      <c r="E10" s="106" t="s">
        <v>274</v>
      </c>
      <c r="F10" s="109" t="s">
        <v>274</v>
      </c>
      <c r="G10" s="105" t="s">
        <v>274</v>
      </c>
      <c r="H10" s="106" t="s">
        <v>274</v>
      </c>
      <c r="I10" s="110" t="s">
        <v>275</v>
      </c>
      <c r="J10" s="110" t="s">
        <v>275</v>
      </c>
      <c r="K10" s="109" t="s">
        <v>274</v>
      </c>
      <c r="L10" s="105" t="s">
        <v>276</v>
      </c>
      <c r="M10" s="106" t="s">
        <v>276</v>
      </c>
      <c r="N10" s="109" t="s">
        <v>276</v>
      </c>
      <c r="O10" s="105" t="s">
        <v>274</v>
      </c>
      <c r="P10" s="106" t="s">
        <v>274</v>
      </c>
      <c r="Q10" s="106" t="s">
        <v>277</v>
      </c>
      <c r="R10" s="106" t="s">
        <v>274</v>
      </c>
      <c r="S10" s="106" t="s">
        <v>274</v>
      </c>
      <c r="T10" s="106" t="s">
        <v>274</v>
      </c>
      <c r="U10" s="106" t="s">
        <v>277</v>
      </c>
      <c r="V10" s="109" t="s">
        <v>274</v>
      </c>
      <c r="W10" s="352" t="s">
        <v>278</v>
      </c>
      <c r="X10" s="823" t="s">
        <v>279</v>
      </c>
      <c r="Y10" s="823"/>
      <c r="Z10" s="823"/>
      <c r="AA10" s="824"/>
      <c r="AB10" s="821" t="s">
        <v>280</v>
      </c>
      <c r="AC10" s="821"/>
      <c r="AD10" s="821"/>
      <c r="AE10" s="821"/>
      <c r="AF10" s="822"/>
    </row>
    <row r="11" spans="2:32" s="354" customFormat="1" ht="32.1">
      <c r="B11" s="111" t="s">
        <v>375</v>
      </c>
      <c r="C11" s="289" t="s">
        <v>288</v>
      </c>
      <c r="D11" s="290" t="s">
        <v>289</v>
      </c>
      <c r="E11" s="113" t="s">
        <v>403</v>
      </c>
      <c r="F11" s="112" t="s">
        <v>404</v>
      </c>
      <c r="G11" s="111" t="s">
        <v>292</v>
      </c>
      <c r="H11" s="113" t="s">
        <v>293</v>
      </c>
      <c r="I11" s="113" t="s">
        <v>294</v>
      </c>
      <c r="J11" s="113" t="s">
        <v>295</v>
      </c>
      <c r="K11" s="114" t="s">
        <v>296</v>
      </c>
      <c r="L11" s="291" t="s">
        <v>405</v>
      </c>
      <c r="M11" s="292" t="s">
        <v>406</v>
      </c>
      <c r="N11" s="112" t="s">
        <v>299</v>
      </c>
      <c r="O11" s="417" t="s">
        <v>300</v>
      </c>
      <c r="P11" s="418" t="s">
        <v>301</v>
      </c>
      <c r="Q11" s="418" t="s">
        <v>302</v>
      </c>
      <c r="R11" s="418" t="s">
        <v>303</v>
      </c>
      <c r="S11" s="418" t="s">
        <v>304</v>
      </c>
      <c r="T11" s="418" t="s">
        <v>301</v>
      </c>
      <c r="U11" s="418" t="s">
        <v>407</v>
      </c>
      <c r="V11" s="419" t="s">
        <v>303</v>
      </c>
      <c r="W11" s="410" t="s">
        <v>306</v>
      </c>
      <c r="X11" s="115" t="s">
        <v>307</v>
      </c>
      <c r="Y11" s="116" t="s">
        <v>308</v>
      </c>
      <c r="Z11" s="116" t="s">
        <v>248</v>
      </c>
      <c r="AA11" s="114" t="s">
        <v>309</v>
      </c>
      <c r="AB11" s="116" t="s">
        <v>248</v>
      </c>
      <c r="AC11" s="116" t="s">
        <v>310</v>
      </c>
      <c r="AD11" s="116" t="s">
        <v>311</v>
      </c>
      <c r="AE11" s="116" t="s">
        <v>251</v>
      </c>
      <c r="AF11" s="114" t="s">
        <v>313</v>
      </c>
    </row>
    <row r="12" spans="2:32">
      <c r="B12" s="601" t="s">
        <v>408</v>
      </c>
      <c r="C12" s="602" t="s">
        <v>409</v>
      </c>
      <c r="D12" s="603" t="s">
        <v>410</v>
      </c>
      <c r="E12" s="604">
        <v>10000</v>
      </c>
      <c r="F12" s="605">
        <v>300</v>
      </c>
      <c r="G12" s="606">
        <v>50000</v>
      </c>
      <c r="H12" s="607">
        <v>30</v>
      </c>
      <c r="I12" s="645">
        <f>IF(ISBLANK(H12),"",IF(H12&lt;Beregningsperiode,Beregningsperiode/'Tillegg- Inndata Øvrige'!H12-1,0))</f>
        <v>0.66666666666666674</v>
      </c>
      <c r="J12" s="646">
        <f>IF(ISBLANK(H12),"",G12*I12)</f>
        <v>33333.333333333336</v>
      </c>
      <c r="K12" s="608">
        <v>0.1</v>
      </c>
      <c r="L12" s="609">
        <v>0</v>
      </c>
      <c r="M12" s="610">
        <v>0</v>
      </c>
      <c r="N12" s="610">
        <v>0</v>
      </c>
      <c r="O12" s="302"/>
      <c r="P12" s="299"/>
      <c r="Q12" s="299"/>
      <c r="R12" s="299"/>
      <c r="S12" s="299"/>
      <c r="T12" s="299"/>
      <c r="U12" s="299"/>
      <c r="V12" s="299"/>
      <c r="W12" s="649" t="s">
        <v>411</v>
      </c>
      <c r="X12" s="677">
        <f>IF(ISBLANK(E12),"",VLOOKUP(W12,Tabell1[#All],3)/100)</f>
        <v>0.80500000000000005</v>
      </c>
      <c r="Y12" s="677">
        <f>IF(ISBLANK(E12),"",VLOOKUP(W12,Tabell1[#All],4)/100)</f>
        <v>0.113</v>
      </c>
      <c r="Z12" s="678">
        <v>0.2</v>
      </c>
      <c r="AA12" s="679">
        <f>IF(ISBLANK(E12),"",VLOOKUP(W12,Tabell1[#All],5)/100)</f>
        <v>6.7000000000000004E-2</v>
      </c>
      <c r="AB12" s="653" t="s">
        <v>101</v>
      </c>
      <c r="AC12" s="653" t="s">
        <v>101</v>
      </c>
      <c r="AD12" s="653" t="s">
        <v>101</v>
      </c>
      <c r="AE12" s="653" t="s">
        <v>99</v>
      </c>
      <c r="AF12" s="654" t="s">
        <v>101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Øvrige'!H13-1,0))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Øvrige'!H14-1,0))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Øvrige'!H15-1,0))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Øvrige'!H16-1,0))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Øvrige'!H17-1,0))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Øvrige'!H18-1,0))</f>
        <v/>
      </c>
      <c r="J18" s="120" t="str">
        <f t="shared" ref="J18:J47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Øvrige'!H19-1,0))</f>
        <v/>
      </c>
      <c r="J19" s="120" t="str">
        <f t="shared" si="2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Øvrige'!H20-1,0))</f>
        <v/>
      </c>
      <c r="J20" s="120" t="str">
        <f t="shared" si="2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Øvrige'!H21-1,0))</f>
        <v/>
      </c>
      <c r="J21" s="120" t="str">
        <f t="shared" si="2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Øvrige'!H22-1,0))</f>
        <v/>
      </c>
      <c r="J22" s="120" t="str">
        <f t="shared" si="2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Øvrige'!H23-1,0))</f>
        <v/>
      </c>
      <c r="J23" s="120" t="str">
        <f t="shared" si="2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Øvrige'!H24-1,0))</f>
        <v/>
      </c>
      <c r="J24" s="120" t="str">
        <f t="shared" si="2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Øvrige'!H25-1,0))</f>
        <v/>
      </c>
      <c r="J25" s="120" t="str">
        <f t="shared" si="2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Øvrige'!H26-1,0))</f>
        <v/>
      </c>
      <c r="J26" s="120" t="str">
        <f t="shared" si="2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Øvrige'!H27-1,0))</f>
        <v/>
      </c>
      <c r="J27" s="120" t="str">
        <f t="shared" si="2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Øvrige'!H28-1,0))</f>
        <v/>
      </c>
      <c r="J28" s="120" t="str">
        <f t="shared" si="2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Øvrige'!H29-1,0))</f>
        <v/>
      </c>
      <c r="J29" s="120" t="str">
        <f t="shared" si="2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Øvrige'!H30-1,0))</f>
        <v/>
      </c>
      <c r="J30" s="120" t="str">
        <f t="shared" si="2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Øvrige'!H31-1,0))</f>
        <v/>
      </c>
      <c r="J31" s="120" t="str">
        <f t="shared" si="2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Øvrige'!H32-1,0))</f>
        <v/>
      </c>
      <c r="J32" s="120" t="str">
        <f t="shared" si="2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Øvrige'!H33-1,0))</f>
        <v/>
      </c>
      <c r="J33" s="120" t="str">
        <f t="shared" si="2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Øvrige'!H34-1,0))</f>
        <v/>
      </c>
      <c r="J34" s="120" t="str">
        <f t="shared" si="2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Øvrige'!H35-1,0))</f>
        <v/>
      </c>
      <c r="J35" s="120" t="str">
        <f t="shared" si="2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Øvrige'!H36-1,0))</f>
        <v/>
      </c>
      <c r="J36" s="120" t="str">
        <f t="shared" si="2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Øvrige'!H37-1,0))</f>
        <v/>
      </c>
      <c r="J37" s="120" t="str">
        <f t="shared" si="2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Øvrige'!H38-1,0))</f>
        <v/>
      </c>
      <c r="J38" s="120" t="str">
        <f t="shared" si="2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Øvrige'!H39-1,0))</f>
        <v/>
      </c>
      <c r="J39" s="120" t="str">
        <f t="shared" si="2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Øvrige'!H40-1,0))</f>
        <v/>
      </c>
      <c r="J40" s="120" t="str">
        <f t="shared" si="2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Øvrige'!H41-1,0))</f>
        <v/>
      </c>
      <c r="J41" s="120" t="str">
        <f t="shared" si="2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Øvrige'!H42-1,0))</f>
        <v/>
      </c>
      <c r="J42" s="120" t="str">
        <f t="shared" si="2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Øvrige'!H43-1,0))</f>
        <v/>
      </c>
      <c r="J43" s="120" t="str">
        <f t="shared" si="2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Øvrige'!H44-1,0))</f>
        <v/>
      </c>
      <c r="J44" s="120" t="str">
        <f t="shared" si="2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Øvrige'!H45-1,0))</f>
        <v/>
      </c>
      <c r="J45" s="120" t="str">
        <f t="shared" si="2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Øvrige'!H46-1,0))</f>
        <v/>
      </c>
      <c r="J46" s="120" t="str">
        <f t="shared" si="2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Øvrige'!H47-1,0))</f>
        <v/>
      </c>
      <c r="J47" s="120" t="str">
        <f t="shared" si="2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170" t="str">
        <f>IF(ISBLANK(H48),"",IF(H48&lt;Beregningsperiode,_xlfn.CEILING.MATH(Beregningsperiode/'Tillegg- Inndata Øvrige'!H48-1),0))</f>
        <v/>
      </c>
      <c r="J48" s="170" t="str">
        <f t="shared" ref="J48:J111" si="3">IF(ISBLANK(H48),"",G48*I48)</f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170" t="str">
        <f>IF(ISBLANK(H49),"",IF(H49&lt;Beregningsperiode,_xlfn.CEILING.MATH(Beregningsperiode/'Tillegg- Inndata Øvrige'!H49-1),0))</f>
        <v/>
      </c>
      <c r="J49" s="17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170" t="str">
        <f>IF(ISBLANK(H50),"",IF(H50&lt;Beregningsperiode,_xlfn.CEILING.MATH(Beregningsperiode/'Tillegg- Inndata Øvrige'!H50-1),0))</f>
        <v/>
      </c>
      <c r="J50" s="17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170" t="str">
        <f>IF(ISBLANK(H51),"",IF(H51&lt;Beregningsperiode,_xlfn.CEILING.MATH(Beregningsperiode/'Tillegg- Inndata Øvrige'!H51-1),0))</f>
        <v/>
      </c>
      <c r="J51" s="17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170" t="str">
        <f>IF(ISBLANK(H52),"",IF(H52&lt;Beregningsperiode,_xlfn.CEILING.MATH(Beregningsperiode/'Tillegg- Inndata Øvrige'!H52-1),0))</f>
        <v/>
      </c>
      <c r="J52" s="17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170" t="str">
        <f>IF(ISBLANK(H53),"",IF(H53&lt;Beregningsperiode,_xlfn.CEILING.MATH(Beregningsperiode/'Tillegg- Inndata Øvrige'!H53-1),0))</f>
        <v/>
      </c>
      <c r="J53" s="17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170" t="str">
        <f>IF(ISBLANK(H54),"",IF(H54&lt;Beregningsperiode,_xlfn.CEILING.MATH(Beregningsperiode/'Tillegg- Inndata Øvrige'!H54-1),0))</f>
        <v/>
      </c>
      <c r="J54" s="17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170" t="str">
        <f>IF(ISBLANK(H55),"",IF(H55&lt;Beregningsperiode,_xlfn.CEILING.MATH(Beregningsperiode/'Tillegg- Inndata Øvrige'!H55-1),0))</f>
        <v/>
      </c>
      <c r="J55" s="17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170" t="str">
        <f>IF(ISBLANK(H56),"",IF(H56&lt;Beregningsperiode,_xlfn.CEILING.MATH(Beregningsperiode/'Tillegg- Inndata Øvrige'!H56-1),0))</f>
        <v/>
      </c>
      <c r="J56" s="17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170" t="str">
        <f>IF(ISBLANK(H57),"",IF(H57&lt;Beregningsperiode,_xlfn.CEILING.MATH(Beregningsperiode/'Tillegg- Inndata Øvrige'!H57-1),0))</f>
        <v/>
      </c>
      <c r="J57" s="17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170" t="str">
        <f>IF(ISBLANK(H58),"",IF(H58&lt;Beregningsperiode,_xlfn.CEILING.MATH(Beregningsperiode/'Tillegg- Inndata Øvrige'!H58-1),0))</f>
        <v/>
      </c>
      <c r="J58" s="17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170" t="str">
        <f>IF(ISBLANK(H59),"",IF(H59&lt;Beregningsperiode,_xlfn.CEILING.MATH(Beregningsperiode/'Tillegg- Inndata Øvrige'!H59-1),0))</f>
        <v/>
      </c>
      <c r="J59" s="17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170" t="str">
        <f>IF(ISBLANK(H60),"",IF(H60&lt;Beregningsperiode,_xlfn.CEILING.MATH(Beregningsperiode/'Tillegg- Inndata Øvrige'!H60-1),0))</f>
        <v/>
      </c>
      <c r="J60" s="17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170" t="str">
        <f>IF(ISBLANK(H61),"",IF(H61&lt;Beregningsperiode,_xlfn.CEILING.MATH(Beregningsperiode/'Tillegg- Inndata Øvrige'!H61-1),0))</f>
        <v/>
      </c>
      <c r="J61" s="17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170" t="str">
        <f>IF(ISBLANK(H62),"",IF(H62&lt;Beregningsperiode,_xlfn.CEILING.MATH(Beregningsperiode/'Tillegg- Inndata Øvrige'!H62-1),0))</f>
        <v/>
      </c>
      <c r="J62" s="17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170" t="str">
        <f>IF(ISBLANK(H63),"",IF(H63&lt;Beregningsperiode,_xlfn.CEILING.MATH(Beregningsperiode/'Tillegg- Inndata Øvrige'!H63-1),0))</f>
        <v/>
      </c>
      <c r="J63" s="17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170" t="str">
        <f>IF(ISBLANK(H64),"",IF(H64&lt;Beregningsperiode,_xlfn.CEILING.MATH(Beregningsperiode/'Tillegg- Inndata Øvrige'!H64-1),0))</f>
        <v/>
      </c>
      <c r="J64" s="17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170" t="str">
        <f>IF(ISBLANK(H65),"",IF(H65&lt;Beregningsperiode,_xlfn.CEILING.MATH(Beregningsperiode/'Tillegg- Inndata Øvrige'!H65-1),0))</f>
        <v/>
      </c>
      <c r="J65" s="17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170" t="str">
        <f>IF(ISBLANK(H66),"",IF(H66&lt;Beregningsperiode,_xlfn.CEILING.MATH(Beregningsperiode/'Tillegg- Inndata Øvrige'!H66-1),0))</f>
        <v/>
      </c>
      <c r="J66" s="17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170" t="str">
        <f>IF(ISBLANK(H67),"",IF(H67&lt;Beregningsperiode,_xlfn.CEILING.MATH(Beregningsperiode/'Tillegg- Inndata Øvrige'!H67-1),0))</f>
        <v/>
      </c>
      <c r="J67" s="17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170" t="str">
        <f>IF(ISBLANK(H68),"",IF(H68&lt;Beregningsperiode,_xlfn.CEILING.MATH(Beregningsperiode/'Tillegg- Inndata Øvrige'!H68-1),0))</f>
        <v/>
      </c>
      <c r="J68" s="17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170" t="str">
        <f>IF(ISBLANK(H69),"",IF(H69&lt;Beregningsperiode,_xlfn.CEILING.MATH(Beregningsperiode/'Tillegg- Inndata Øvrige'!H69-1),0))</f>
        <v/>
      </c>
      <c r="J69" s="17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170" t="str">
        <f>IF(ISBLANK(H70),"",IF(H70&lt;Beregningsperiode,_xlfn.CEILING.MATH(Beregningsperiode/'Tillegg- Inndata Øvrige'!H70-1),0))</f>
        <v/>
      </c>
      <c r="J70" s="17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170" t="str">
        <f>IF(ISBLANK(H71),"",IF(H71&lt;Beregningsperiode,_xlfn.CEILING.MATH(Beregningsperiode/'Tillegg- Inndata Øvrige'!H71-1),0))</f>
        <v/>
      </c>
      <c r="J71" s="17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170" t="str">
        <f>IF(ISBLANK(H72),"",IF(H72&lt;Beregningsperiode,_xlfn.CEILING.MATH(Beregningsperiode/'Tillegg- Inndata Øvrige'!H72-1),0))</f>
        <v/>
      </c>
      <c r="J72" s="17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170" t="str">
        <f>IF(ISBLANK(H73),"",IF(H73&lt;Beregningsperiode,_xlfn.CEILING.MATH(Beregningsperiode/'Tillegg- Inndata Øvrige'!H73-1),0))</f>
        <v/>
      </c>
      <c r="J73" s="17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170" t="str">
        <f>IF(ISBLANK(H74),"",IF(H74&lt;Beregningsperiode,_xlfn.CEILING.MATH(Beregningsperiode/'Tillegg- Inndata Øvrige'!H74-1),0))</f>
        <v/>
      </c>
      <c r="J74" s="17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170" t="str">
        <f>IF(ISBLANK(H75),"",IF(H75&lt;Beregningsperiode,_xlfn.CEILING.MATH(Beregningsperiode/'Tillegg- Inndata Øvrige'!H75-1),0))</f>
        <v/>
      </c>
      <c r="J75" s="17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170" t="str">
        <f>IF(ISBLANK(H76),"",IF(H76&lt;Beregningsperiode,_xlfn.CEILING.MATH(Beregningsperiode/'Tillegg- Inndata Øvrige'!H76-1),0))</f>
        <v/>
      </c>
      <c r="J76" s="17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170" t="str">
        <f>IF(ISBLANK(H77),"",IF(H77&lt;Beregningsperiode,_xlfn.CEILING.MATH(Beregningsperiode/'Tillegg- Inndata Øvrige'!H77-1),0))</f>
        <v/>
      </c>
      <c r="J77" s="17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170" t="str">
        <f>IF(ISBLANK(H78),"",IF(H78&lt;Beregningsperiode,_xlfn.CEILING.MATH(Beregningsperiode/'Tillegg- Inndata Øvrige'!H78-1),0))</f>
        <v/>
      </c>
      <c r="J78" s="17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170" t="str">
        <f>IF(ISBLANK(H79),"",IF(H79&lt;Beregningsperiode,_xlfn.CEILING.MATH(Beregningsperiode/'Tillegg- Inndata Øvrige'!H79-1),0))</f>
        <v/>
      </c>
      <c r="J79" s="17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170" t="str">
        <f>IF(ISBLANK(H80),"",IF(H80&lt;Beregningsperiode,_xlfn.CEILING.MATH(Beregningsperiode/'Tillegg- Inndata Øvrige'!H80-1),0))</f>
        <v/>
      </c>
      <c r="J80" s="17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170" t="str">
        <f>IF(ISBLANK(H81),"",IF(H81&lt;Beregningsperiode,_xlfn.CEILING.MATH(Beregningsperiode/'Tillegg- Inndata Øvrige'!H81-1),0))</f>
        <v/>
      </c>
      <c r="J81" s="17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170" t="str">
        <f>IF(ISBLANK(H82),"",IF(H82&lt;Beregningsperiode,_xlfn.CEILING.MATH(Beregningsperiode/'Tillegg- Inndata Øvrige'!H82-1),0))</f>
        <v/>
      </c>
      <c r="J82" s="17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170" t="str">
        <f>IF(ISBLANK(H83),"",IF(H83&lt;Beregningsperiode,_xlfn.CEILING.MATH(Beregningsperiode/'Tillegg- Inndata Øvrige'!H83-1),0))</f>
        <v/>
      </c>
      <c r="J83" s="170" t="str">
        <f t="shared" si="3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170" t="str">
        <f>IF(ISBLANK(H84),"",IF(H84&lt;Beregningsperiode,_xlfn.CEILING.MATH(Beregningsperiode/'Tillegg- Inndata Øvrige'!H84-1),0))</f>
        <v/>
      </c>
      <c r="J84" s="170" t="str">
        <f t="shared" si="3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170" t="str">
        <f>IF(ISBLANK(H85),"",IF(H85&lt;Beregningsperiode,_xlfn.CEILING.MATH(Beregningsperiode/'Tillegg- Inndata Øvrige'!H85-1),0))</f>
        <v/>
      </c>
      <c r="J85" s="170" t="str">
        <f t="shared" si="3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170" t="str">
        <f>IF(ISBLANK(H86),"",IF(H86&lt;Beregningsperiode,_xlfn.CEILING.MATH(Beregningsperiode/'Tillegg- Inndata Øvrige'!H86-1),0))</f>
        <v/>
      </c>
      <c r="J86" s="170" t="str">
        <f t="shared" si="3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170" t="str">
        <f>IF(ISBLANK(H87),"",IF(H87&lt;Beregningsperiode,_xlfn.CEILING.MATH(Beregningsperiode/'Tillegg- Inndata Øvrige'!H87-1),0))</f>
        <v/>
      </c>
      <c r="J87" s="170" t="str">
        <f t="shared" si="3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170" t="str">
        <f>IF(ISBLANK(H88),"",IF(H88&lt;Beregningsperiode,_xlfn.CEILING.MATH(Beregningsperiode/'Tillegg- Inndata Øvrige'!H88-1),0))</f>
        <v/>
      </c>
      <c r="J88" s="170" t="str">
        <f t="shared" si="3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170" t="str">
        <f>IF(ISBLANK(H89),"",IF(H89&lt;Beregningsperiode,_xlfn.CEILING.MATH(Beregningsperiode/'Tillegg- Inndata Øvrige'!H89-1),0))</f>
        <v/>
      </c>
      <c r="J89" s="170" t="str">
        <f t="shared" si="3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170" t="str">
        <f>IF(ISBLANK(H90),"",IF(H90&lt;Beregningsperiode,_xlfn.CEILING.MATH(Beregningsperiode/'Tillegg- Inndata Øvrige'!H90-1),0))</f>
        <v/>
      </c>
      <c r="J90" s="170" t="str">
        <f t="shared" si="3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170" t="str">
        <f>IF(ISBLANK(H91),"",IF(H91&lt;Beregningsperiode,_xlfn.CEILING.MATH(Beregningsperiode/'Tillegg- Inndata Øvrige'!H91-1),0))</f>
        <v/>
      </c>
      <c r="J91" s="170" t="str">
        <f t="shared" si="3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170" t="str">
        <f>IF(ISBLANK(H92),"",IF(H92&lt;Beregningsperiode,_xlfn.CEILING.MATH(Beregningsperiode/'Tillegg- Inndata Øvrige'!H92-1),0))</f>
        <v/>
      </c>
      <c r="J92" s="170" t="str">
        <f t="shared" si="3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170" t="str">
        <f>IF(ISBLANK(H93),"",IF(H93&lt;Beregningsperiode,_xlfn.CEILING.MATH(Beregningsperiode/'Tillegg- Inndata Øvrige'!H93-1),0))</f>
        <v/>
      </c>
      <c r="J93" s="170" t="str">
        <f t="shared" si="3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170" t="str">
        <f>IF(ISBLANK(H94),"",IF(H94&lt;Beregningsperiode,_xlfn.CEILING.MATH(Beregningsperiode/'Tillegg- Inndata Øvrige'!H94-1),0))</f>
        <v/>
      </c>
      <c r="J94" s="170" t="str">
        <f t="shared" si="3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170" t="str">
        <f>IF(ISBLANK(H95),"",IF(H95&lt;Beregningsperiode,_xlfn.CEILING.MATH(Beregningsperiode/'Tillegg- Inndata Øvrige'!H95-1),0))</f>
        <v/>
      </c>
      <c r="J95" s="170" t="str">
        <f t="shared" si="3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170" t="str">
        <f>IF(ISBLANK(H96),"",IF(H96&lt;Beregningsperiode,_xlfn.CEILING.MATH(Beregningsperiode/'Tillegg- Inndata Øvrige'!H96-1),0))</f>
        <v/>
      </c>
      <c r="J96" s="170" t="str">
        <f t="shared" si="3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170" t="str">
        <f>IF(ISBLANK(H97),"",IF(H97&lt;Beregningsperiode,_xlfn.CEILING.MATH(Beregningsperiode/'Tillegg- Inndata Øvrige'!H97-1),0))</f>
        <v/>
      </c>
      <c r="J97" s="170" t="str">
        <f t="shared" si="3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170" t="str">
        <f>IF(ISBLANK(H98),"",IF(H98&lt;Beregningsperiode,_xlfn.CEILING.MATH(Beregningsperiode/'Tillegg- Inndata Øvrige'!H98-1),0))</f>
        <v/>
      </c>
      <c r="J98" s="170" t="str">
        <f t="shared" si="3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170" t="str">
        <f>IF(ISBLANK(H99),"",IF(H99&lt;Beregningsperiode,_xlfn.CEILING.MATH(Beregningsperiode/'Tillegg- Inndata Øvrige'!H99-1),0))</f>
        <v/>
      </c>
      <c r="J99" s="170" t="str">
        <f t="shared" si="3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170" t="str">
        <f>IF(ISBLANK(H100),"",IF(H100&lt;Beregningsperiode,_xlfn.CEILING.MATH(Beregningsperiode/'Tillegg- Inndata Øvrige'!H100-1),0))</f>
        <v/>
      </c>
      <c r="J100" s="170" t="str">
        <f t="shared" si="3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170" t="str">
        <f>IF(ISBLANK(H101),"",IF(H101&lt;Beregningsperiode,_xlfn.CEILING.MATH(Beregningsperiode/'Tillegg- Inndata Øvrige'!H101-1),0))</f>
        <v/>
      </c>
      <c r="J101" s="170" t="str">
        <f t="shared" si="3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170" t="str">
        <f>IF(ISBLANK(H102),"",IF(H102&lt;Beregningsperiode,_xlfn.CEILING.MATH(Beregningsperiode/'Tillegg- Inndata Øvrige'!H102-1),0))</f>
        <v/>
      </c>
      <c r="J102" s="170" t="str">
        <f t="shared" si="3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170" t="str">
        <f>IF(ISBLANK(H103),"",IF(H103&lt;Beregningsperiode,_xlfn.CEILING.MATH(Beregningsperiode/'Tillegg- Inndata Øvrige'!H103-1),0))</f>
        <v/>
      </c>
      <c r="J103" s="170" t="str">
        <f t="shared" si="3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170" t="str">
        <f>IF(ISBLANK(H104),"",IF(H104&lt;Beregningsperiode,_xlfn.CEILING.MATH(Beregningsperiode/'Tillegg- Inndata Øvrige'!H104-1),0))</f>
        <v/>
      </c>
      <c r="J104" s="170" t="str">
        <f t="shared" si="3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170" t="str">
        <f>IF(ISBLANK(H105),"",IF(H105&lt;Beregningsperiode,_xlfn.CEILING.MATH(Beregningsperiode/'Tillegg- Inndata Øvrige'!H105-1),0))</f>
        <v/>
      </c>
      <c r="J105" s="170" t="str">
        <f t="shared" si="3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170" t="str">
        <f>IF(ISBLANK(H106),"",IF(H106&lt;Beregningsperiode,_xlfn.CEILING.MATH(Beregningsperiode/'Tillegg- Inndata Øvrige'!H106-1),0))</f>
        <v/>
      </c>
      <c r="J106" s="170" t="str">
        <f t="shared" si="3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170" t="str">
        <f>IF(ISBLANK(H107),"",IF(H107&lt;Beregningsperiode,_xlfn.CEILING.MATH(Beregningsperiode/'Tillegg- Inndata Øvrige'!H107-1),0))</f>
        <v/>
      </c>
      <c r="J107" s="170" t="str">
        <f t="shared" si="3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170" t="str">
        <f>IF(ISBLANK(H108),"",IF(H108&lt;Beregningsperiode,_xlfn.CEILING.MATH(Beregningsperiode/'Tillegg- Inndata Øvrige'!H108-1),0))</f>
        <v/>
      </c>
      <c r="J108" s="170" t="str">
        <f t="shared" si="3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170" t="str">
        <f>IF(ISBLANK(H109),"",IF(H109&lt;Beregningsperiode,_xlfn.CEILING.MATH(Beregningsperiode/'Tillegg- Inndata Øvrige'!H109-1),0))</f>
        <v/>
      </c>
      <c r="J109" s="170" t="str">
        <f t="shared" si="3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170" t="str">
        <f>IF(ISBLANK(H110),"",IF(H110&lt;Beregningsperiode,_xlfn.CEILING.MATH(Beregningsperiode/'Tillegg- Inndata Øvrige'!H110-1),0))</f>
        <v/>
      </c>
      <c r="J110" s="170" t="str">
        <f t="shared" si="3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170" t="str">
        <f>IF(ISBLANK(H111),"",IF(H111&lt;Beregningsperiode,_xlfn.CEILING.MATH(Beregningsperiode/'Tillegg- Inndata Øvrige'!H111-1),0))</f>
        <v/>
      </c>
      <c r="J111" s="170" t="str">
        <f t="shared" si="3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170" t="str">
        <f>IF(ISBLANK(H112),"",IF(H112&lt;Beregningsperiode,_xlfn.CEILING.MATH(Beregningsperiode/'Tillegg- Inndata Øvrige'!H112-1),0))</f>
        <v/>
      </c>
      <c r="J112" s="170" t="str">
        <f t="shared" ref="J112:J158" si="4">IF(ISBLANK(H112),"",G112*I112)</f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170" t="str">
        <f>IF(ISBLANK(H113),"",IF(H113&lt;Beregningsperiode,_xlfn.CEILING.MATH(Beregningsperiode/'Tillegg- Inndata Øvrige'!H113-1),0))</f>
        <v/>
      </c>
      <c r="J113" s="17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170" t="str">
        <f>IF(ISBLANK(H114),"",IF(H114&lt;Beregningsperiode,_xlfn.CEILING.MATH(Beregningsperiode/'Tillegg- Inndata Øvrige'!H114-1),0))</f>
        <v/>
      </c>
      <c r="J114" s="17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170" t="str">
        <f>IF(ISBLANK(H115),"",IF(H115&lt;Beregningsperiode,_xlfn.CEILING.MATH(Beregningsperiode/'Tillegg- Inndata Øvrige'!H115-1),0))</f>
        <v/>
      </c>
      <c r="J115" s="17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170" t="str">
        <f>IF(ISBLANK(H116),"",IF(H116&lt;Beregningsperiode,_xlfn.CEILING.MATH(Beregningsperiode/'Tillegg- Inndata Øvrige'!H116-1),0))</f>
        <v/>
      </c>
      <c r="J116" s="17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170" t="str">
        <f>IF(ISBLANK(H117),"",IF(H117&lt;Beregningsperiode,_xlfn.CEILING.MATH(Beregningsperiode/'Tillegg- Inndata Øvrige'!H117-1),0))</f>
        <v/>
      </c>
      <c r="J117" s="17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170" t="str">
        <f>IF(ISBLANK(H118),"",IF(H118&lt;Beregningsperiode,_xlfn.CEILING.MATH(Beregningsperiode/'Tillegg- Inndata Øvrige'!H118-1),0))</f>
        <v/>
      </c>
      <c r="J118" s="17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170" t="str">
        <f>IF(ISBLANK(H119),"",IF(H119&lt;Beregningsperiode,_xlfn.CEILING.MATH(Beregningsperiode/'Tillegg- Inndata Øvrige'!H119-1),0))</f>
        <v/>
      </c>
      <c r="J119" s="17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170" t="str">
        <f>IF(ISBLANK(H120),"",IF(H120&lt;Beregningsperiode,_xlfn.CEILING.MATH(Beregningsperiode/'Tillegg- Inndata Øvrige'!H120-1),0))</f>
        <v/>
      </c>
      <c r="J120" s="17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170" t="str">
        <f>IF(ISBLANK(H121),"",IF(H121&lt;Beregningsperiode,_xlfn.CEILING.MATH(Beregningsperiode/'Tillegg- Inndata Øvrige'!H121-1),0))</f>
        <v/>
      </c>
      <c r="J121" s="17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170" t="str">
        <f>IF(ISBLANK(H122),"",IF(H122&lt;Beregningsperiode,_xlfn.CEILING.MATH(Beregningsperiode/'Tillegg- Inndata Øvrige'!H122-1),0))</f>
        <v/>
      </c>
      <c r="J122" s="17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170" t="str">
        <f>IF(ISBLANK(H123),"",IF(H123&lt;Beregningsperiode,_xlfn.CEILING.MATH(Beregningsperiode/'Tillegg- Inndata Øvrige'!H123-1),0))</f>
        <v/>
      </c>
      <c r="J123" s="17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170" t="str">
        <f>IF(ISBLANK(H124),"",IF(H124&lt;Beregningsperiode,_xlfn.CEILING.MATH(Beregningsperiode/'Tillegg- Inndata Øvrige'!H124-1),0))</f>
        <v/>
      </c>
      <c r="J124" s="17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170" t="str">
        <f>IF(ISBLANK(H125),"",IF(H125&lt;Beregningsperiode,_xlfn.CEILING.MATH(Beregningsperiode/'Tillegg- Inndata Øvrige'!H125-1),0))</f>
        <v/>
      </c>
      <c r="J125" s="17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170" t="str">
        <f>IF(ISBLANK(H126),"",IF(H126&lt;Beregningsperiode,_xlfn.CEILING.MATH(Beregningsperiode/'Tillegg- Inndata Øvrige'!H126-1),0))</f>
        <v/>
      </c>
      <c r="J126" s="17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170" t="str">
        <f>IF(ISBLANK(H127),"",IF(H127&lt;Beregningsperiode,_xlfn.CEILING.MATH(Beregningsperiode/'Tillegg- Inndata Øvrige'!H127-1),0))</f>
        <v/>
      </c>
      <c r="J127" s="17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170" t="str">
        <f>IF(ISBLANK(H128),"",IF(H128&lt;Beregningsperiode,_xlfn.CEILING.MATH(Beregningsperiode/'Tillegg- Inndata Øvrige'!H128-1),0))</f>
        <v/>
      </c>
      <c r="J128" s="17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170" t="str">
        <f>IF(ISBLANK(H129),"",IF(H129&lt;Beregningsperiode,_xlfn.CEILING.MATH(Beregningsperiode/'Tillegg- Inndata Øvrige'!H129-1),0))</f>
        <v/>
      </c>
      <c r="J129" s="17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170" t="str">
        <f>IF(ISBLANK(H130),"",IF(H130&lt;Beregningsperiode,_xlfn.CEILING.MATH(Beregningsperiode/'Tillegg- Inndata Øvrige'!H130-1),0))</f>
        <v/>
      </c>
      <c r="J130" s="17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170" t="str">
        <f>IF(ISBLANK(H131),"",IF(H131&lt;Beregningsperiode,_xlfn.CEILING.MATH(Beregningsperiode/'Tillegg- Inndata Øvrige'!H131-1),0))</f>
        <v/>
      </c>
      <c r="J131" s="17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170" t="str">
        <f>IF(ISBLANK(H132),"",IF(H132&lt;Beregningsperiode,_xlfn.CEILING.MATH(Beregningsperiode/'Tillegg- Inndata Øvrige'!H132-1),0))</f>
        <v/>
      </c>
      <c r="J132" s="17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170" t="str">
        <f>IF(ISBLANK(H133),"",IF(H133&lt;Beregningsperiode,_xlfn.CEILING.MATH(Beregningsperiode/'Tillegg- Inndata Øvrige'!H133-1),0))</f>
        <v/>
      </c>
      <c r="J133" s="17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170" t="str">
        <f>IF(ISBLANK(H134),"",IF(H134&lt;Beregningsperiode,_xlfn.CEILING.MATH(Beregningsperiode/'Tillegg- Inndata Øvrige'!H134-1),0))</f>
        <v/>
      </c>
      <c r="J134" s="17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170" t="str">
        <f>IF(ISBLANK(H135),"",IF(H135&lt;Beregningsperiode,_xlfn.CEILING.MATH(Beregningsperiode/'Tillegg- Inndata Øvrige'!H135-1),0))</f>
        <v/>
      </c>
      <c r="J135" s="17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170" t="str">
        <f>IF(ISBLANK(H136),"",IF(H136&lt;Beregningsperiode,_xlfn.CEILING.MATH(Beregningsperiode/'Tillegg- Inndata Øvrige'!H136-1),0))</f>
        <v/>
      </c>
      <c r="J136" s="17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170" t="str">
        <f>IF(ISBLANK(H137),"",IF(H137&lt;Beregningsperiode,_xlfn.CEILING.MATH(Beregningsperiode/'Tillegg- Inndata Øvrige'!H137-1),0))</f>
        <v/>
      </c>
      <c r="J137" s="17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170" t="str">
        <f>IF(ISBLANK(H138),"",IF(H138&lt;Beregningsperiode,_xlfn.CEILING.MATH(Beregningsperiode/'Tillegg- Inndata Øvrige'!H138-1),0))</f>
        <v/>
      </c>
      <c r="J138" s="17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170" t="str">
        <f>IF(ISBLANK(H139),"",IF(H139&lt;Beregningsperiode,_xlfn.CEILING.MATH(Beregningsperiode/'Tillegg- Inndata Øvrige'!H139-1),0))</f>
        <v/>
      </c>
      <c r="J139" s="17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170" t="str">
        <f>IF(ISBLANK(H140),"",IF(H140&lt;Beregningsperiode,_xlfn.CEILING.MATH(Beregningsperiode/'Tillegg- Inndata Øvrige'!H140-1),0))</f>
        <v/>
      </c>
      <c r="J140" s="17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170" t="str">
        <f>IF(ISBLANK(H141),"",IF(H141&lt;Beregningsperiode,_xlfn.CEILING.MATH(Beregningsperiode/'Tillegg- Inndata Øvrige'!H141-1),0))</f>
        <v/>
      </c>
      <c r="J141" s="17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170" t="str">
        <f>IF(ISBLANK(H142),"",IF(H142&lt;Beregningsperiode,_xlfn.CEILING.MATH(Beregningsperiode/'Tillegg- Inndata Øvrige'!H142-1),0))</f>
        <v/>
      </c>
      <c r="J142" s="17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170" t="str">
        <f>IF(ISBLANK(H143),"",IF(H143&lt;Beregningsperiode,_xlfn.CEILING.MATH(Beregningsperiode/'Tillegg- Inndata Øvrige'!H143-1),0))</f>
        <v/>
      </c>
      <c r="J143" s="17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170" t="str">
        <f>IF(ISBLANK(H144),"",IF(H144&lt;Beregningsperiode,_xlfn.CEILING.MATH(Beregningsperiode/'Tillegg- Inndata Øvrige'!H144-1),0))</f>
        <v/>
      </c>
      <c r="J144" s="17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170" t="str">
        <f>IF(ISBLANK(H145),"",IF(H145&lt;Beregningsperiode,_xlfn.CEILING.MATH(Beregningsperiode/'Tillegg- Inndata Øvrige'!H145-1),0))</f>
        <v/>
      </c>
      <c r="J145" s="17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170" t="str">
        <f>IF(ISBLANK(H146),"",IF(H146&lt;Beregningsperiode,_xlfn.CEILING.MATH(Beregningsperiode/'Tillegg- Inndata Øvrige'!H146-1),0))</f>
        <v/>
      </c>
      <c r="J146" s="17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170" t="str">
        <f>IF(ISBLANK(H147),"",IF(H147&lt;Beregningsperiode,_xlfn.CEILING.MATH(Beregningsperiode/'Tillegg- Inndata Øvrige'!H147-1),0))</f>
        <v/>
      </c>
      <c r="J147" s="170" t="str">
        <f t="shared" si="4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170" t="str">
        <f>IF(ISBLANK(H148),"",IF(H148&lt;Beregningsperiode,_xlfn.CEILING.MATH(Beregningsperiode/'Tillegg- Inndata Øvrige'!H148-1),0))</f>
        <v/>
      </c>
      <c r="J148" s="170" t="str">
        <f t="shared" si="4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170" t="str">
        <f>IF(ISBLANK(H149),"",IF(H149&lt;Beregningsperiode,_xlfn.CEILING.MATH(Beregningsperiode/'Tillegg- Inndata Øvrige'!H149-1),0))</f>
        <v/>
      </c>
      <c r="J149" s="170" t="str">
        <f t="shared" si="4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170" t="str">
        <f>IF(ISBLANK(H150),"",IF(H150&lt;Beregningsperiode,_xlfn.CEILING.MATH(Beregningsperiode/'Tillegg- Inndata Øvrige'!H150-1),0))</f>
        <v/>
      </c>
      <c r="J150" s="170" t="str">
        <f t="shared" si="4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170" t="str">
        <f>IF(ISBLANK(H151),"",IF(H151&lt;Beregningsperiode,_xlfn.CEILING.MATH(Beregningsperiode/'Tillegg- Inndata Øvrige'!H151-1),0))</f>
        <v/>
      </c>
      <c r="J151" s="170" t="str">
        <f t="shared" si="4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170" t="str">
        <f>IF(ISBLANK(H152),"",IF(H152&lt;Beregningsperiode,_xlfn.CEILING.MATH(Beregningsperiode/'Tillegg- Inndata Øvrige'!H152-1),0))</f>
        <v/>
      </c>
      <c r="J152" s="170" t="str">
        <f t="shared" si="4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170" t="str">
        <f>IF(ISBLANK(H153),"",IF(H153&lt;Beregningsperiode,_xlfn.CEILING.MATH(Beregningsperiode/'Tillegg- Inndata Øvrige'!H153-1),0))</f>
        <v/>
      </c>
      <c r="J153" s="170" t="str">
        <f t="shared" si="4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170" t="str">
        <f>IF(ISBLANK(H154),"",IF(H154&lt;Beregningsperiode,_xlfn.CEILING.MATH(Beregningsperiode/'Tillegg- Inndata Øvrige'!H154-1),0))</f>
        <v/>
      </c>
      <c r="J154" s="170" t="str">
        <f t="shared" si="4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170" t="str">
        <f>IF(ISBLANK(H155),"",IF(H155&lt;Beregningsperiode,_xlfn.CEILING.MATH(Beregningsperiode/'Tillegg- Inndata Øvrige'!H155-1),0))</f>
        <v/>
      </c>
      <c r="J155" s="170" t="str">
        <f t="shared" si="4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170" t="str">
        <f>IF(ISBLANK(H156),"",IF(H156&lt;Beregningsperiode,_xlfn.CEILING.MATH(Beregningsperiode/'Tillegg- Inndata Øvrige'!H156-1),0))</f>
        <v/>
      </c>
      <c r="J156" s="170" t="str">
        <f t="shared" si="4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170" t="str">
        <f>IF(ISBLANK(H157),"",IF(H157&lt;Beregningsperiode,_xlfn.CEILING.MATH(Beregningsperiode/'Tillegg- Inndata Øvrige'!H157-1),0))</f>
        <v/>
      </c>
      <c r="J157" s="170" t="str">
        <f t="shared" si="4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Øvrige'!H158-1),0))</f>
        <v/>
      </c>
      <c r="J158" s="176" t="str">
        <f t="shared" si="4"/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416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9kOVexoB/d85KcrTN7HzylTjpZAcEWTalYrtIQlot0QutQfmibExDp61b2Tj/e4fIXKnyIVJCvHcbKHgtuw1mQ==" saltValue="k+4QbbZ0doZE8F/ZH7+QsA==" spinCount="100000" sheet="1" formatCells="0" formatColumns="0" formatRows="0" selectLockedCells="1" sort="0" autoFilter="0" pivotTables="0"/>
  <mergeCells count="11">
    <mergeCell ref="AB10:AF10"/>
    <mergeCell ref="X10:AA10"/>
    <mergeCell ref="B8:D8"/>
    <mergeCell ref="E8:AF8"/>
    <mergeCell ref="B9:D9"/>
    <mergeCell ref="E9:F9"/>
    <mergeCell ref="G9:K9"/>
    <mergeCell ref="L9:N9"/>
    <mergeCell ref="O9:V9"/>
    <mergeCell ref="X9:AA9"/>
    <mergeCell ref="AB9:AF9"/>
  </mergeCells>
  <conditionalFormatting sqref="B12">
    <cfRule type="cellIs" dxfId="78" priority="1" operator="equal">
      <formula>0</formula>
    </cfRule>
  </conditionalFormatting>
  <conditionalFormatting sqref="B27:W158">
    <cfRule type="containsBlanks" dxfId="77" priority="20">
      <formula>LEN(TRIM(B27))=0</formula>
    </cfRule>
  </conditionalFormatting>
  <conditionalFormatting sqref="B12:H26">
    <cfRule type="containsBlanks" dxfId="76" priority="16">
      <formula>LEN(TRIM(B12))=0</formula>
    </cfRule>
  </conditionalFormatting>
  <conditionalFormatting sqref="I12:W26">
    <cfRule type="containsBlanks" dxfId="75" priority="8">
      <formula>LEN(TRIM(I12))=0</formula>
    </cfRule>
  </conditionalFormatting>
  <conditionalFormatting sqref="X159:X1048576 AA159:AB1048576">
    <cfRule type="cellIs" dxfId="74" priority="18" operator="equal">
      <formula>"Nei"</formula>
    </cfRule>
    <cfRule type="cellIs" dxfId="73" priority="19" operator="equal">
      <formula>"Ja"</formula>
    </cfRule>
  </conditionalFormatting>
  <conditionalFormatting sqref="X12:AF158">
    <cfRule type="cellIs" dxfId="72" priority="2" operator="equal">
      <formula>"Nei"</formula>
    </cfRule>
    <cfRule type="cellIs" dxfId="71" priority="3" operator="equal">
      <formula>"Ja"</formula>
    </cfRule>
    <cfRule type="containsBlanks" dxfId="70" priority="4">
      <formula>LEN(TRIM(X12))=0</formula>
    </cfRule>
  </conditionalFormatting>
  <conditionalFormatting sqref="AE159:AE1048576">
    <cfRule type="cellIs" dxfId="69" priority="21" operator="equal">
      <formula>"Nei"</formula>
    </cfRule>
    <cfRule type="cellIs" dxfId="68" priority="22" operator="equal">
      <formula>"Ja"</formula>
    </cfRule>
  </conditionalFormatting>
  <dataValidations count="5">
    <dataValidation type="list" allowBlank="1" showInputMessage="1" showErrorMessage="1" sqref="AF48:AF158 AE159:AE1048576 AC48:AD158 AB159:AB1048576" xr:uid="{48AB9828-75B4-5C4A-B526-909E9811F43D}">
      <formula1>"Ja,Nei"</formula1>
    </dataValidation>
    <dataValidation type="list" allowBlank="1" showInputMessage="1" showErrorMessage="1" prompt="Er produktet del av energiproduserende utstyr, f.eks. solceller?" sqref="AF12:AF47 AC12:AD47" xr:uid="{F8CB5CC0-257A-1745-A8DD-E914A9C8C6F1}">
      <formula1>"Ja,Nei"</formula1>
    </dataValidation>
    <dataValidation type="decimal" allowBlank="1" showInputMessage="1" showErrorMessage="1" errorTitle="Ugyldig verdi" error="Verdien må være mellom 0 og 100%." sqref="L12:N158" xr:uid="{93765292-73E5-3346-B0FF-C2254C0EFC16}">
      <formula1>0</formula1>
      <formula2>1</formula2>
    </dataValidation>
    <dataValidation type="list" allowBlank="1" showInputMessage="1" showErrorMessage="1" prompt="Ombrukbarhet må være dokumentert etter FutureBuilt's kriterier for sirkulære bygg." sqref="AE12:AE158" xr:uid="{17A3C530-DA86-3F4E-B614-4AD85C4B5662}">
      <formula1>"Ja,Nei"</formula1>
    </dataValidation>
    <dataValidation type="list" allowBlank="1" showInputMessage="1" showErrorMessage="1" prompt="Produktet er tidligere brukt i en annen bygning eller liknende." sqref="AB12:AB158" xr:uid="{DDD0ED16-49D5-D04B-BDE2-91A46DE2830B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035E6CA-ADB4-1A4F-A92E-41C4BB3E137F}">
          <x14:formula1>
            <xm:f>'Lister og verdier'!$I$6:$I$35</xm:f>
          </x14:formula1>
          <xm:sqref>B18:B158</xm:sqref>
        </x14:dataValidation>
        <x14:dataValidation type="list" allowBlank="1" showInputMessage="1" showErrorMessage="1" xr:uid="{731DF412-1601-CB46-B5E7-E8B682F4CD23}">
          <x14:formula1>
            <xm:f>'Lister og verdier'!$B$44:$B$56</xm:f>
          </x14:formula1>
          <xm:sqref>W18:W158</xm:sqref>
        </x14:dataValidation>
        <x14:dataValidation type="list" allowBlank="1" showInputMessage="1" showErrorMessage="1" xr:uid="{595619F4-E41D-084E-B019-01E658A29461}">
          <x14:formula1>
            <xm:f>'Lister og verdier'!$B$45:$B$56</xm:f>
          </x14:formula1>
          <xm:sqref>W12:W17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94BD4-517D-3D43-B38A-CED373F4F44C}">
  <sheetPr codeName="Sheet11">
    <tabColor theme="8" tint="-0.249977111117893"/>
  </sheetPr>
  <dimension ref="B1:BO385"/>
  <sheetViews>
    <sheetView topLeftCell="B1" zoomScale="70" zoomScaleNormal="70" workbookViewId="0">
      <selection activeCell="B14" sqref="B14"/>
    </sheetView>
  </sheetViews>
  <sheetFormatPr defaultColWidth="8.875" defaultRowHeight="15"/>
  <cols>
    <col min="1" max="1" width="2.5" style="1" customWidth="1"/>
    <col min="2" max="2" width="31.125" style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24.375" style="1" bestFit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13.625" style="1" bestFit="1" customWidth="1"/>
    <col min="29" max="29" width="10.625" style="1" bestFit="1" customWidth="1"/>
    <col min="30" max="30" width="13.625" style="1" bestFit="1" customWidth="1"/>
    <col min="31" max="31" width="15.625" style="1" bestFit="1" customWidth="1"/>
    <col min="32" max="32" width="21.875" style="1" bestFit="1" customWidth="1"/>
    <col min="33" max="35" width="14.625" style="1" customWidth="1"/>
    <col min="36" max="36" width="6.125" style="1" customWidth="1"/>
    <col min="37" max="37" width="13.125" style="1" bestFit="1" customWidth="1"/>
    <col min="38" max="39" width="16.875" style="1" bestFit="1" customWidth="1"/>
    <col min="40" max="40" width="8.875" style="1"/>
    <col min="41" max="41" width="34.5" bestFit="1" customWidth="1"/>
    <col min="42" max="16384" width="8.875" style="1"/>
  </cols>
  <sheetData>
    <row r="1" spans="2:67">
      <c r="X1" s="1"/>
      <c r="AO1" s="1"/>
    </row>
    <row r="2" spans="2:67" ht="36.950000000000003">
      <c r="B2" s="103" t="s">
        <v>412</v>
      </c>
      <c r="X2" s="1"/>
      <c r="AO2" s="1"/>
    </row>
    <row r="3" spans="2:67">
      <c r="B3" s="303" t="s">
        <v>317</v>
      </c>
      <c r="X3" s="1"/>
      <c r="AO3" s="1"/>
    </row>
    <row r="4" spans="2:67" ht="15.95">
      <c r="B4" s="8" t="s">
        <v>318</v>
      </c>
      <c r="X4" s="1"/>
      <c r="AO4" s="1"/>
    </row>
    <row r="5" spans="2:67">
      <c r="X5" s="1"/>
      <c r="AO5" s="1"/>
    </row>
    <row r="6" spans="2:67">
      <c r="X6" s="1"/>
      <c r="AO6" s="1"/>
    </row>
    <row r="7" spans="2:67" s="181" customFormat="1" ht="53.1" customHeight="1">
      <c r="B7" s="371"/>
      <c r="C7" s="372"/>
      <c r="D7" s="459"/>
      <c r="E7" s="828"/>
      <c r="F7" s="832" t="s">
        <v>268</v>
      </c>
      <c r="G7" s="772"/>
      <c r="H7" s="772"/>
      <c r="I7" s="772"/>
      <c r="J7" s="772"/>
      <c r="K7" s="772"/>
      <c r="L7" s="772"/>
      <c r="M7" s="772"/>
      <c r="N7" s="773"/>
      <c r="O7" s="773"/>
      <c r="P7" s="773"/>
      <c r="Q7" s="772"/>
      <c r="R7" s="772"/>
      <c r="S7" s="772"/>
      <c r="T7" s="772"/>
      <c r="U7" s="772"/>
      <c r="V7" s="810" t="s">
        <v>393</v>
      </c>
      <c r="W7" s="810"/>
      <c r="X7" s="810"/>
      <c r="Y7" s="810"/>
      <c r="Z7" s="810"/>
      <c r="AA7" s="810"/>
      <c r="AB7" s="833"/>
      <c r="AC7" s="811" t="s">
        <v>394</v>
      </c>
      <c r="AD7" s="812"/>
      <c r="AE7" s="812"/>
      <c r="AF7" s="834"/>
      <c r="AG7" s="768" t="s">
        <v>322</v>
      </c>
      <c r="AH7" s="769"/>
      <c r="AI7" s="770"/>
      <c r="AJ7" s="1"/>
      <c r="AK7" s="801" t="s">
        <v>323</v>
      </c>
      <c r="AL7" s="801"/>
      <c r="AM7" s="80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2:67" s="182" customFormat="1" ht="32.1" customHeight="1">
      <c r="B8" s="793" t="s">
        <v>324</v>
      </c>
      <c r="C8" s="794"/>
      <c r="D8" s="446">
        <f>SUM(F9:AF9)</f>
        <v>14178.945059783226</v>
      </c>
      <c r="E8" s="829"/>
      <c r="F8" s="774" t="s">
        <v>325</v>
      </c>
      <c r="G8" s="775"/>
      <c r="H8" s="775"/>
      <c r="I8" s="775"/>
      <c r="J8" s="775"/>
      <c r="K8" s="775"/>
      <c r="L8" s="775"/>
      <c r="M8" s="775"/>
      <c r="N8" s="776" t="s">
        <v>326</v>
      </c>
      <c r="O8" s="777"/>
      <c r="P8" s="778"/>
      <c r="Q8" s="783" t="s">
        <v>327</v>
      </c>
      <c r="R8" s="783"/>
      <c r="S8" s="783"/>
      <c r="T8" s="783"/>
      <c r="U8" s="783"/>
      <c r="V8" s="774" t="s">
        <v>328</v>
      </c>
      <c r="W8" s="775"/>
      <c r="X8" s="807" t="s">
        <v>329</v>
      </c>
      <c r="Y8" s="783"/>
      <c r="Z8" s="783"/>
      <c r="AA8" s="783"/>
      <c r="AB8" s="808"/>
      <c r="AC8" s="310" t="s">
        <v>330</v>
      </c>
      <c r="AD8" s="311" t="s">
        <v>331</v>
      </c>
      <c r="AE8" s="807" t="s">
        <v>332</v>
      </c>
      <c r="AF8" s="808"/>
      <c r="AG8" s="765" t="s">
        <v>333</v>
      </c>
      <c r="AH8" s="766"/>
      <c r="AI8" s="767"/>
      <c r="AJ8" s="1"/>
      <c r="AK8" s="82" t="s">
        <v>325</v>
      </c>
      <c r="AL8" s="82" t="s">
        <v>326</v>
      </c>
      <c r="AM8" s="82" t="s">
        <v>329</v>
      </c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2:67" s="77" customFormat="1" ht="15" customHeight="1">
      <c r="B9" s="842" t="s">
        <v>267</v>
      </c>
      <c r="C9" s="773"/>
      <c r="D9" s="773"/>
      <c r="E9" s="460" t="s">
        <v>334</v>
      </c>
      <c r="F9" s="457">
        <f>SUM(F14:F160)</f>
        <v>10000</v>
      </c>
      <c r="G9" s="457">
        <f t="shared" ref="G9:AE9" si="0">SUM(G14:G160)</f>
        <v>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1000</v>
      </c>
      <c r="R9" s="457">
        <f t="shared" si="0"/>
        <v>0</v>
      </c>
      <c r="S9" s="457">
        <f t="shared" si="0"/>
        <v>30</v>
      </c>
      <c r="T9" s="457">
        <f t="shared" si="0"/>
        <v>41.5</v>
      </c>
      <c r="U9" s="457">
        <f>SUM(U14:U160)</f>
        <v>0</v>
      </c>
      <c r="V9" s="457">
        <f t="shared" si="0"/>
        <v>0</v>
      </c>
      <c r="W9" s="457">
        <f t="shared" si="0"/>
        <v>0</v>
      </c>
      <c r="X9" s="457">
        <f t="shared" si="0"/>
        <v>4177.2316503347929</v>
      </c>
      <c r="Y9" s="457">
        <f t="shared" si="0"/>
        <v>0</v>
      </c>
      <c r="Z9" s="457">
        <f t="shared" si="0"/>
        <v>125.31694951004377</v>
      </c>
      <c r="AA9" s="457">
        <f t="shared" si="0"/>
        <v>173.35511348889392</v>
      </c>
      <c r="AB9" s="457">
        <f t="shared" si="0"/>
        <v>0</v>
      </c>
      <c r="AC9" s="457">
        <f t="shared" si="0"/>
        <v>84.855660017610731</v>
      </c>
      <c r="AD9" s="457">
        <f t="shared" si="0"/>
        <v>0</v>
      </c>
      <c r="AE9" s="457">
        <f t="shared" si="0"/>
        <v>-1599.3969837097636</v>
      </c>
      <c r="AF9" s="458">
        <f>SUM(AF14:AF160)</f>
        <v>-153.91732985835299</v>
      </c>
      <c r="AG9" s="449"/>
      <c r="AH9" s="565"/>
      <c r="AI9" s="566"/>
      <c r="AJ9" s="1"/>
      <c r="AK9" s="92" cm="1">
        <f t="array" ref="AK9">SUM(IFERROR(AK14:AK160,0))</f>
        <v>10000</v>
      </c>
      <c r="AL9" s="93" cm="1">
        <f t="array" ref="AL9">SUM(IFERROR(AL14:AL160,0))</f>
        <v>300</v>
      </c>
      <c r="AM9" s="93" cm="1">
        <f t="array" ref="AM9">SUM(IFERROR(AM14:AM160,0))</f>
        <v>0</v>
      </c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2:67" s="77" customFormat="1" ht="15" customHeight="1">
      <c r="B10" s="809"/>
      <c r="C10" s="810"/>
      <c r="D10" s="810"/>
      <c r="E10" s="853"/>
      <c r="F10" s="843" t="s">
        <v>395</v>
      </c>
      <c r="G10" s="368"/>
      <c r="H10" s="368"/>
      <c r="I10" s="368"/>
      <c r="J10" s="368"/>
      <c r="K10" s="368"/>
      <c r="L10" s="368"/>
      <c r="M10" s="368"/>
      <c r="N10" s="830" t="s">
        <v>335</v>
      </c>
      <c r="O10" s="830" t="s">
        <v>335</v>
      </c>
      <c r="P10" s="830" t="s">
        <v>335</v>
      </c>
      <c r="Q10" s="835" t="s">
        <v>336</v>
      </c>
      <c r="R10" s="835" t="s">
        <v>336</v>
      </c>
      <c r="S10" s="835" t="s">
        <v>336</v>
      </c>
      <c r="T10" s="835" t="s">
        <v>336</v>
      </c>
      <c r="U10" s="835" t="s">
        <v>336</v>
      </c>
      <c r="V10" s="839"/>
      <c r="W10" s="840"/>
      <c r="X10" s="836"/>
      <c r="Y10" s="835"/>
      <c r="Z10" s="835"/>
      <c r="AA10" s="835"/>
      <c r="AB10" s="850"/>
      <c r="AC10" s="835"/>
      <c r="AD10" s="835"/>
      <c r="AE10" s="369"/>
      <c r="AF10" s="852"/>
      <c r="AG10" s="559"/>
      <c r="AH10" s="313"/>
      <c r="AI10" s="571"/>
      <c r="AJ10" s="1"/>
      <c r="AK10" s="845" t="s">
        <v>337</v>
      </c>
      <c r="AL10" s="795" t="s">
        <v>338</v>
      </c>
      <c r="AM10" s="795" t="s">
        <v>339</v>
      </c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2:67" s="78" customFormat="1" ht="15.95" customHeight="1">
      <c r="B11" s="809"/>
      <c r="C11" s="810"/>
      <c r="D11" s="810"/>
      <c r="E11" s="853"/>
      <c r="F11" s="844"/>
      <c r="G11" s="370"/>
      <c r="H11" s="370"/>
      <c r="I11" s="370"/>
      <c r="J11" s="370"/>
      <c r="K11" s="370"/>
      <c r="L11" s="370"/>
      <c r="M11" s="370"/>
      <c r="N11" s="831"/>
      <c r="O11" s="831"/>
      <c r="P11" s="831"/>
      <c r="Q11" s="838"/>
      <c r="R11" s="838"/>
      <c r="S11" s="838"/>
      <c r="T11" s="838"/>
      <c r="U11" s="838"/>
      <c r="V11" s="839"/>
      <c r="W11" s="841"/>
      <c r="X11" s="837"/>
      <c r="Y11" s="835"/>
      <c r="Z11" s="835"/>
      <c r="AA11" s="835"/>
      <c r="AB11" s="851"/>
      <c r="AC11" s="835"/>
      <c r="AD11" s="835"/>
      <c r="AE11" s="369"/>
      <c r="AF11" s="852"/>
      <c r="AG11" s="559"/>
      <c r="AH11" s="313"/>
      <c r="AI11" s="571"/>
      <c r="AJ11" s="1"/>
      <c r="AK11" s="846"/>
      <c r="AL11" s="796"/>
      <c r="AM11" s="796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2:67" s="78" customFormat="1" ht="36" customHeight="1">
      <c r="B12" s="811"/>
      <c r="C12" s="812"/>
      <c r="D12" s="812"/>
      <c r="E12" s="854"/>
      <c r="F12" s="362" t="s">
        <v>340</v>
      </c>
      <c r="G12" s="350" t="s">
        <v>341</v>
      </c>
      <c r="H12" s="350" t="s">
        <v>341</v>
      </c>
      <c r="I12" s="350" t="s">
        <v>341</v>
      </c>
      <c r="J12" s="363" t="s">
        <v>340</v>
      </c>
      <c r="K12" s="350" t="s">
        <v>341</v>
      </c>
      <c r="L12" s="350" t="s">
        <v>340</v>
      </c>
      <c r="M12" s="364" t="s">
        <v>341</v>
      </c>
      <c r="N12" s="365" t="s">
        <v>338</v>
      </c>
      <c r="O12" s="365" t="s">
        <v>338</v>
      </c>
      <c r="P12" s="365" t="s">
        <v>338</v>
      </c>
      <c r="Q12" s="366" t="s">
        <v>337</v>
      </c>
      <c r="R12" s="350" t="s">
        <v>341</v>
      </c>
      <c r="S12" s="350" t="s">
        <v>338</v>
      </c>
      <c r="T12" s="350" t="s">
        <v>338</v>
      </c>
      <c r="U12" s="364" t="s">
        <v>307</v>
      </c>
      <c r="V12" s="364" t="s">
        <v>341</v>
      </c>
      <c r="W12" s="364" t="s">
        <v>341</v>
      </c>
      <c r="X12" s="364" t="s">
        <v>337</v>
      </c>
      <c r="Y12" s="364" t="s">
        <v>341</v>
      </c>
      <c r="Z12" s="848" t="s">
        <v>338</v>
      </c>
      <c r="AA12" s="849"/>
      <c r="AB12" s="367" t="s">
        <v>307</v>
      </c>
      <c r="AC12" s="322" t="s">
        <v>338</v>
      </c>
      <c r="AD12" s="367" t="s">
        <v>307</v>
      </c>
      <c r="AE12" s="365" t="s">
        <v>251</v>
      </c>
      <c r="AF12" s="365" t="s">
        <v>342</v>
      </c>
      <c r="AG12" s="825" t="s">
        <v>343</v>
      </c>
      <c r="AH12" s="826"/>
      <c r="AI12" s="827"/>
      <c r="AJ12" s="1"/>
      <c r="AK12" s="846"/>
      <c r="AL12" s="796"/>
      <c r="AM12" s="796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2:67" s="214" customFormat="1" ht="30.95">
      <c r="B13" s="324" t="s">
        <v>375</v>
      </c>
      <c r="C13" s="325" t="s">
        <v>288</v>
      </c>
      <c r="D13" s="325" t="s">
        <v>289</v>
      </c>
      <c r="E13" s="422" t="s">
        <v>344</v>
      </c>
      <c r="F13" s="326" t="s">
        <v>345</v>
      </c>
      <c r="G13" s="326" t="s">
        <v>346</v>
      </c>
      <c r="H13" s="326" t="s">
        <v>347</v>
      </c>
      <c r="I13" s="326" t="s">
        <v>348</v>
      </c>
      <c r="J13" s="326" t="s">
        <v>349</v>
      </c>
      <c r="K13" s="326" t="s">
        <v>350</v>
      </c>
      <c r="L13" s="326" t="s">
        <v>351</v>
      </c>
      <c r="M13" s="326" t="s">
        <v>352</v>
      </c>
      <c r="N13" s="326" t="s">
        <v>326</v>
      </c>
      <c r="O13" s="326" t="s">
        <v>353</v>
      </c>
      <c r="P13" s="326" t="s">
        <v>354</v>
      </c>
      <c r="Q13" s="326" t="s">
        <v>355</v>
      </c>
      <c r="R13" s="326" t="s">
        <v>356</v>
      </c>
      <c r="S13" s="326" t="s">
        <v>357</v>
      </c>
      <c r="T13" s="326" t="s">
        <v>358</v>
      </c>
      <c r="U13" s="326" t="s">
        <v>359</v>
      </c>
      <c r="V13" s="326" t="s">
        <v>396</v>
      </c>
      <c r="W13" s="326" t="s">
        <v>361</v>
      </c>
      <c r="X13" s="326" t="s">
        <v>397</v>
      </c>
      <c r="Y13" s="326" t="s">
        <v>363</v>
      </c>
      <c r="Z13" s="326" t="s">
        <v>364</v>
      </c>
      <c r="AA13" s="326" t="s">
        <v>365</v>
      </c>
      <c r="AB13" s="326" t="s">
        <v>398</v>
      </c>
      <c r="AC13" s="326" t="s">
        <v>330</v>
      </c>
      <c r="AD13" s="326" t="s">
        <v>331</v>
      </c>
      <c r="AE13" s="326" t="s">
        <v>367</v>
      </c>
      <c r="AF13" s="326" t="s">
        <v>368</v>
      </c>
      <c r="AG13" s="564" t="s">
        <v>307</v>
      </c>
      <c r="AH13" s="564" t="s">
        <v>248</v>
      </c>
      <c r="AI13" s="564" t="s">
        <v>369</v>
      </c>
      <c r="AJ13" s="1"/>
      <c r="AK13" s="847"/>
      <c r="AL13" s="797"/>
      <c r="AM13" s="797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2:67" s="79" customFormat="1">
      <c r="B14" s="614" t="str">
        <f>'Tillegg- Inndata Øvrige'!B12</f>
        <v>31 Sanitær</v>
      </c>
      <c r="C14" s="614" t="str">
        <f>'Tillegg- Inndata Øvrige'!C12</f>
        <v>Porselen og plast</v>
      </c>
      <c r="D14" s="614" t="str">
        <f>'Tillegg- Inndata Øvrige'!D12</f>
        <v>Sanitæranlegg</v>
      </c>
      <c r="E14" s="421" cm="1">
        <f t="array" ref="E14">SUM(IFERROR(F14:AF14,0))</f>
        <v>14178.945059783226</v>
      </c>
      <c r="F14" s="617">
        <f>'Tillegg- Inndata Øvrige'!E12</f>
        <v>10000</v>
      </c>
      <c r="G14" s="617">
        <f>IF('Tillegg- Inndata Øvrige'!AB12="Ja", -0.8*$F14, 0)</f>
        <v>0</v>
      </c>
      <c r="H14" s="617">
        <f>IF('Tillegg- Inndata Øvrige'!AC12="Ja", -0.4*$F14, 0)</f>
        <v>0</v>
      </c>
      <c r="I14" s="617">
        <f>IF('Tillegg- Inndata Øvrige'!AD12="Ja", -1*$F14, 0)</f>
        <v>0</v>
      </c>
      <c r="J14" s="617">
        <f>'Tillegg- Inndata Øvrige'!O12*'Tillegg- Inndata Øvrige'!P12</f>
        <v>0</v>
      </c>
      <c r="K14" s="617">
        <f>MAX(-0.75*(SUM('Tillegg- Res. Det. Øvrige'!F14:J14)),-'Tillegg- Inndata Øvrige'!O12*'Tillegg- Inndata Øvrige'!Q12)</f>
        <v>0</v>
      </c>
      <c r="L14" s="617">
        <f>'Tillegg- Inndata Øvrige'!S12*'Tillegg- Inndata Øvrige'!T12</f>
        <v>0</v>
      </c>
      <c r="M14" s="617">
        <f>MAX(-0.75*(SUM('Tillegg- Res. Det. Øvrige'!F14:I14,L14)),-'Tillegg- Inndata Øvrige'!S12*'Tillegg- Inndata Øvrige'!U12)</f>
        <v>0</v>
      </c>
      <c r="N14" s="618">
        <f>'Tillegg- Inndata Øvrige'!F12</f>
        <v>300</v>
      </c>
      <c r="O14" s="617">
        <f>'Tillegg- Inndata Øvrige'!O12*'Tillegg- Inndata Øvrige'!R12</f>
        <v>0</v>
      </c>
      <c r="P14" s="619">
        <f>'Tillegg- Inndata Øvrige'!S12*'Tillegg- Inndata Øvrige'!V12</f>
        <v>0</v>
      </c>
      <c r="Q14" s="621">
        <f>SUM(F14:J14,L14)*'Tillegg- Inndata Øvrige'!K12</f>
        <v>1000</v>
      </c>
      <c r="R14" s="621">
        <f>(K14+M14)*'Tillegg- Inndata Øvrige'!K12</f>
        <v>0</v>
      </c>
      <c r="S14" s="621">
        <f>SUM(N14:P14)*'Tillegg- Inndata Øvrige'!K12</f>
        <v>30</v>
      </c>
      <c r="T14" s="622">
        <f>('Tillegg- Inndata Øvrige'!G12+'Tillegg- Inndata Øvrige'!O12+'Tillegg- Inndata Øvrige'!S12)*'Tillegg- Inndata Øvrige'!K12*Transport_utslipp_til_avfallshånderting_per_kg</f>
        <v>41.5</v>
      </c>
      <c r="U14" s="617">
        <f>IF('Tillegg- Inndata Øvrige'!E12 = 0, 0, 1.833*'Tillegg- Inndata Øvrige'!X12*'Tillegg- Inndata Øvrige'!K12*('Tillegg- Inndata Øvrige'!G12*('Tillegg- Inndata Øvrige'!L12*0.5+'Tillegg- Inndata Øvrige'!M12*0.8) + (12/44)*('Tillegg- Inndata Øvrige'!O12*'Tillegg- Inndata Øvrige'!Q12+'Tillegg- Inndata Øvrige'!S12*'Tillegg- Inndata Øvrige'!U12)))</f>
        <v>0</v>
      </c>
      <c r="V14" s="623">
        <f>IF('Tillegg- Inndata Øvrige'!G12 = 0, 0,  MAX(-SUM(F14:J14,L14)*'Tillegg- Inndata Øvrige'!L12, -0.114*IF('Tillegg- Inndata Øvrige'!H12 &gt; 49, _xlfn.XLOOKUP(49, År_etter_ferdigstillelse, karbon_opptak_faktor), _xlfn.XLOOKUP('Tillegg- Inndata Øvrige'!H12, År_etter_ferdigstillelse, karbon_opptak_faktor))*'Tillegg- Inndata Øvrige'!G12*'Tillegg- Inndata Øvrige'!L12*0.5))</f>
        <v>0</v>
      </c>
      <c r="W14" s="621">
        <f>IF('Tillegg- Inndata Øvrige'!G12=0,0,IF('Tillegg- Inndata Øvrige'!H12&gt;49,-0.064*'Tillegg- Inndata Øvrige'!G12*'Tillegg- Inndata Øvrige'!N12,-0.037*'Tillegg- Inndata Øvrige'!J12*'Tillegg- Inndata Øvrige'!N12))</f>
        <v>0</v>
      </c>
      <c r="X14" s="618" cm="1">
        <f t="array" ref="X14">IF(SUM(F14:J14,L14)=0, 0, SUM(F14:J14,L14)*(1+'Tillegg-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4177.2316503347929</v>
      </c>
      <c r="Y14" s="617" cm="1">
        <f t="array" ref="Y14">IF(X14=0, 0, SUM(K14,M14)*(1+'Tillegg-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0</v>
      </c>
      <c r="Z14" s="625" cm="1">
        <f t="array" ref="Z14">IF(X14=0, 0, SUM(N14:P14)*(1+'Tillegg-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125.31694951004377</v>
      </c>
      <c r="AA14" s="625" cm="1">
        <f t="array" ref="AA14">IF(X14=0, 0, ('Tillegg- Inndata Øvrige'!G12+'Tillegg- Inndata Øvrige'!O12+'Tillegg- Inndata Øvrige'!S12)*(1+'Tillegg- Inndata Øvrige'!K12)*Transport_utslipp_til_avfallshånderting_per_kg*IF('Tillegg- Inndata Øvrige'!H12&gt;50, 0, _xlfn.XLOOKUP('Tillegg- Inndata Øvrige'!H12, År_etter_ferdigstillelse, IF(VALUE(LEFT('Tillegg- Inndata Øvrige'!B12, 2))= 49, f_tid_x_f_tek_d_0_037_kumulativ, f_tid_x_f_tek_d_0_01_kumulativ))))</f>
        <v>173.35511348889392</v>
      </c>
      <c r="AB14" s="622" cm="1">
        <f t="array" ref="AB14">IF(X14=0, 0,1.833*'Tillegg- Inndata Øvrige'!J12*('Tillegg- Inndata Øvrige'!X12*_xlfn.XLOOKUP(IF('Tillegg- Inndata Øvrige'!I12&lt;2,'Tillegg- Inndata Øvrige'!H12,'Tillegg- Inndata Øvrige'!H12*2), År_etter_ferdigstillelse, Faktorer!$Z$7:$Z$58))*('Tillegg- Inndata Øvrige'!L12*0.5+'Tillegg- Inndata Øvrige'!M12*0.8)*_xlfn.XLOOKUP(IF('Tillegg- Inndata Øvrige'!I12&lt;2,'Tillegg- Inndata Øvrige'!H12,'Tillegg- Inndata Øvrige'!H12*2), År_etter_ferdigstillelse,  IF(LEFT('Tillegg- Inndata Øvrige'!B12, 2)= 49, f_tid_x_f_tek_d_0_037, f_tid_x_f_tek_d_0_01)))</f>
        <v>0</v>
      </c>
      <c r="AC14" s="623">
        <f>IF(('Tillegg- Inndata Øvrige'!G12) = 0, 0,('Tillegg- Inndata Øvrige'!G12*((AG14+AI14)*Transport_utslipp_til_avfallshånderting_per_kg)+('Tillegg- Inndata Øvrige'!Z12*'ZERO-B Beregning'!D114)*IF('ZERO-B Beregning'!F115=0,'ZERO-B Beregning'!D115,'ZERO-B Beregning'!F115))*_xlfn.XLOOKUP(51, År_etter_ferdigstillelse, f_tid_x_f_tek_d_0_01))</f>
        <v>84.855660017610731</v>
      </c>
      <c r="AD14" s="675">
        <f>IF(('Tillegg- Inndata Øvrige'!G12) = 0, 0,1.833*('Tillegg- Inndata Øvrige'!G12*('Tillegg- Inndata Øvrige'!L12*0.5+'Tillegg- Inndata Øvrige'!M12*0.8)*AG14*_xlfn.XLOOKUP(51, År_etter_ferdigstillelse,  f_tid_x_f_tek_d_0_01)))</f>
        <v>0</v>
      </c>
      <c r="AE14" s="621" cm="1">
        <f t="array" ref="AE14">IF(('Tillegg- Inndata Øvrige'!G12) = 0, 0,-0.8*('Tillegg- Inndata Øvrige'!G12)*AH14*('Tillegg- Inndata Øvrige'!E12/'Tillegg- Inndata Øvrige'!G12)*_xlfn.XLOOKUP(51, År_etter_ferdigstillelse,  IF(LEFT('Tillegg- Inndata Øvrige'!B12, 2)= 49, f_tid_x_f_tek_d_0_037, f_tid_x_f_tek_d_0_01)))</f>
        <v>-1599.3969837097636</v>
      </c>
      <c r="AF14" s="676" cm="1">
        <f t="array" ref="AF14">IF(('Tillegg- Inndata Øvrige'!G12) = 0, 0,-0.1*('Tillegg- Inndata Øvrige'!G12)*AI14*('Tillegg- Inndata Øvrige'!E12/'Tillegg- Inndata Øvrige'!G12)*_xlfn.XLOOKUP(51, År_etter_ferdigstillelse,  IF(LEFT('Tillegg- Inndata Øvrige'!B12, 2)= 49, f_tid_x_f_tek_d_0_037, f_tid_x_f_tek_d_0_01)))</f>
        <v>-153.91732985835299</v>
      </c>
      <c r="AG14" s="629">
        <f>IF(('Tillegg- Inndata Øvrige'!G12) = 0, 0,'Tillegg- Inndata Øvrige'!X12*Faktorer!$Z$58)</f>
        <v>0.14214423441648774</v>
      </c>
      <c r="AH14" s="630">
        <f>IF(('Tillegg- Inndata Øvrige'!G12) = 0, 0,'Tillegg- Inndata Øvrige'!Z12+('Tillegg- Inndata Øvrige'!X12+'Tillegg- Inndata Øvrige'!Y12)*(1-Faktorer!$Z$58)*0.5)</f>
        <v>0.57795129987929461</v>
      </c>
      <c r="AI14" s="631">
        <f>IF(('Tillegg- Inndata Øvrige'!G12) = 0, 0,'Tillegg- Inndata Øvrige'!AA12+('Tillegg- Inndata Øvrige'!X12+'Tillegg- Inndata Øvrige'!Y12)*(1-Faktorer!$Z$58)*0.5)</f>
        <v>0.4449512998792946</v>
      </c>
      <c r="AJ14" s="1"/>
      <c r="AK14" s="90">
        <f>F14</f>
        <v>10000</v>
      </c>
      <c r="AL14" s="91">
        <f>'Tillegg- Res. Det. Øvrige'!N14</f>
        <v>300</v>
      </c>
      <c r="AM14" s="91" t="e">
        <f>IF(F14=0,"",('Tillegg- Inndata Øvrige'!E14+'Tillegg- Inndata Øvrige'!F14)*ROUNDDOWN('Tillegg- Inndata Øvrige'!I14,0)*(1+'Tillegg- Inndata Øvrige'!K14))</f>
        <v>#VALUE!</v>
      </c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2:67" s="183" customFormat="1">
      <c r="B15" s="327">
        <f>'Tillegg- Inndata Øvrige'!B13</f>
        <v>0</v>
      </c>
      <c r="C15" s="327">
        <f>'Tillegg- Inndata Øvrige'!C13</f>
        <v>0</v>
      </c>
      <c r="D15" s="327">
        <f>'Tillegg- Inndata Øvrige'!D13</f>
        <v>0</v>
      </c>
      <c r="E15" s="421" cm="1">
        <f t="array" ref="E15">SUM(IFERROR(F15:AF15,0))</f>
        <v>0</v>
      </c>
      <c r="F15" s="330">
        <f>'Tillegg- Inndata Øvrige'!E13</f>
        <v>0</v>
      </c>
      <c r="G15" s="330">
        <f>IF('Tillegg- Inndata Øvrige'!AB13="Ja", -0.8*$F15, 0)</f>
        <v>0</v>
      </c>
      <c r="H15" s="330">
        <f>IF('Tillegg- Inndata Øvrige'!AC13="Ja", -0.4*$F15, 0)</f>
        <v>0</v>
      </c>
      <c r="I15" s="330">
        <f>IF('Tillegg- Inndata Øvrige'!AD13="Ja", -1*$F15, 0)</f>
        <v>0</v>
      </c>
      <c r="J15" s="330">
        <f>'Tillegg- Inndata Øvrige'!O13*'Tillegg- Inndata Øvrige'!P13</f>
        <v>0</v>
      </c>
      <c r="K15" s="330">
        <f>MAX(-0.75*(SUM('Tillegg- Res. Det. Øvrige'!F15:J15)),-'Tillegg- Inndata Øvrige'!O13*'Tillegg- Inndata Øvrige'!Q13)</f>
        <v>0</v>
      </c>
      <c r="L15" s="330">
        <f>'Tillegg- Inndata Øvrige'!S13*'Tillegg- Inndata Øvrige'!T13</f>
        <v>0</v>
      </c>
      <c r="M15" s="330">
        <f>MAX(-0.75*(SUM('Tillegg- Res. Det. Øvrige'!F15:I15,L15)),-'Tillegg- Inndata Øvrige'!S13*'Tillegg- Inndata Øvrige'!U13)</f>
        <v>0</v>
      </c>
      <c r="N15" s="331">
        <f>'Tillegg- Inndata Øvrige'!F13</f>
        <v>0</v>
      </c>
      <c r="O15" s="330">
        <f>'Tillegg- Inndata Øvrige'!O13*'Tillegg- Inndata Øvrige'!R13</f>
        <v>0</v>
      </c>
      <c r="P15" s="332">
        <f>'Tillegg- Inndata Øvrige'!S13*'Tillegg- Inndata Øvrige'!V13</f>
        <v>0</v>
      </c>
      <c r="Q15" s="333">
        <f>SUM(F15:J15,L15)*'Tillegg- Inndata Øvrige'!K13</f>
        <v>0</v>
      </c>
      <c r="R15" s="333">
        <f>(K15+M15)*'Tillegg- Inndata Øvrige'!K13</f>
        <v>0</v>
      </c>
      <c r="S15" s="333">
        <f>SUM(N15:P15)*'Tillegg- Inndata Øvrige'!K13</f>
        <v>0</v>
      </c>
      <c r="T15" s="334">
        <f>('Tillegg- Inndata Øvrige'!G13+'Tillegg- Inndata Øvrige'!O13+'Tillegg- Inndata Øvrige'!S13)*'Tillegg- Inndata Øvrige'!K13*Transport_utslipp_til_avfallshånderting_per_kg</f>
        <v>0</v>
      </c>
      <c r="U15" s="330">
        <f>IF('Tillegg- Inndata Øvrige'!E13 = 0, 0, 1.833*'Tillegg- Inndata Øvrige'!X13*'Tillegg- Inndata Øvrige'!K13*('Tillegg- Inndata Øvrige'!G13*('Tillegg- Inndata Øvrige'!L13*0.5+'Tillegg- Inndata Øvrige'!M13*0.8) + (12/44)*('Tillegg- Inndata Øvrige'!O13*'Tillegg- Inndata Øvrige'!Q13+'Tillegg- Inndata Øvrige'!S13*'Tillegg- Inndata Øvrige'!U13)))</f>
        <v>0</v>
      </c>
      <c r="V15" s="335">
        <f>IF('Tillegg- Inndata Øvrige'!G13 = 0, 0,  MAX(-SUM(F15:J15,L15)*'Tillegg- Inndata Øvrige'!L13, -0.114*IF('Tillegg- Inndata Øvrige'!H13 &gt; 49, _xlfn.XLOOKUP(49, År_etter_ferdigstillelse, karbon_opptak_faktor), _xlfn.XLOOKUP('Tillegg- Inndata Øvrige'!H13, År_etter_ferdigstillelse, karbon_opptak_faktor))*'Tillegg- Inndata Øvrige'!G13*'Tillegg- Inndata Øvrige'!L13*0.5))</f>
        <v>0</v>
      </c>
      <c r="W15" s="333">
        <f>IF('Tillegg- Inndata Øvrige'!G13=0,0,IF('Tillegg- Inndata Øvrige'!H13&gt;49,-0.064*'Tillegg- Inndata Øvrige'!G13*'Tillegg- Inndata Øvrige'!N13,-0.037*'Tillegg- Inndata Øvrige'!J13*'Tillegg- Inndata Øvrige'!N13))</f>
        <v>0</v>
      </c>
      <c r="X15" s="331" cm="1">
        <f t="array" ref="X15">IF(SUM(F15:J15,L15)=0, 0, SUM(F15:J15,L15)*(1+'Tillegg-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Y15" s="330" cm="1">
        <f t="array" ref="Y15">IF(X15=0, 0, SUM(K15,M15)*(1+'Tillegg-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Z15" s="336" cm="1">
        <f t="array" ref="Z15">IF(X15=0, 0, SUM(N15:P15)*(1+'Tillegg-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A15" s="336" cm="1">
        <f t="array" ref="AA15">IF(X15=0, 0, ('Tillegg- Inndata Øvrige'!G13+'Tillegg- Inndata Øvrige'!O13+'Tillegg- Inndata Øvrige'!S13)*(1+'Tillegg- Inndata Øvrige'!K13)*Transport_utslipp_til_avfallshånderting_per_kg*IF('Tillegg-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B15" s="334" cm="1">
        <f t="array" ref="AB15">IF(X15=0, 0,1.833*'Tillegg- Inndata Øvrige'!J13*('Tillegg- Inndata Øvrige'!X13*_xlfn.XLOOKUP(IF('Tillegg- Inndata Øvrige'!I13&lt;2,'Tillegg- Inndata Øvrige'!H13,'Tillegg- Inndata Øvrige'!H13*2), År_etter_ferdigstillelse, Faktorer!$Z$7:$Z$58))*('Tillegg- Inndata Øvrige'!L13*0.5+'Tillegg- Inndata Øvrige'!M13*0.8)*_xlfn.XLOOKUP(IF('Tillegg- Inndata Øvrige'!I13&lt;2,'Tillegg- Inndata Øvrige'!H13,'Tillegg- Inndata Øvrige'!H13*2), År_etter_ferdigstillelse,  IF(LEFT('Tillegg- Inndata Øvrige'!B13, 2)= 49, f_tid_x_f_tek_d_0_037, f_tid_x_f_tek_d_0_01)))</f>
        <v>0</v>
      </c>
      <c r="AC15" s="335">
        <f>IF(('Tillegg- Inndata Øvrige'!G13) = 0, 0,('Tillegg- Inndata Øvrige'!G13*((AG15+AI15)*Transport_utslipp_til_avfallshånderting_per_kg)+('Tillegg- Inndata Øvrige'!Z13*'ZERO-B Beregning'!D115)*IF('ZERO-B Beregning'!F116=0,'ZERO-B Beregning'!D116,'ZERO-B Beregning'!F116))*_xlfn.XLOOKUP(51, År_etter_ferdigstillelse, f_tid_x_f_tek_d_0_01))</f>
        <v>0</v>
      </c>
      <c r="AD15" s="337">
        <f>IF(('Tillegg- Inndata Øvrige'!G13) = 0, 0,1.833*('Tillegg- Inndata Øvrige'!G13*('Tillegg- Inndata Øvrige'!L13*0.5+'Tillegg- Inndata Øvrige'!M13*0.8)*AG15*_xlfn.XLOOKUP(51, År_etter_ferdigstillelse,  f_tid_x_f_tek_d_0_01)))</f>
        <v>0</v>
      </c>
      <c r="AE15" s="333" cm="1">
        <f t="array" ref="AE15">IF(('Tillegg- Inndata Øvrige'!G13) = 0, 0,-0.8*('Tillegg- Inndata Øvrige'!G13)*AH15*('Tillegg- Inndata Øvrige'!E13/'Tillegg- Inndata Øvrige'!G13)*_xlfn.XLOOKUP(51, År_etter_ferdigstillelse,  IF(LEFT('Tillegg- Inndata Øvrige'!B13, 2)= 49, f_tid_x_f_tek_d_0_037, f_tid_x_f_tek_d_0_01)))</f>
        <v>0</v>
      </c>
      <c r="AF15" s="338" cm="1">
        <f t="array" ref="AF15">IF(('Tillegg- Inndata Øvrige'!G13) = 0, 0,-0.1*('Tillegg- Inndata Øvrige'!G13)*AI15*('Tillegg- Inndata Øvrige'!E13/'Tillegg- Inndata Øvrige'!G13)*_xlfn.XLOOKUP(51, År_etter_ferdigstillelse,  IF(LEFT('Tillegg- Inndata Øvrige'!B13, 2)= 49, f_tid_x_f_tek_d_0_037, f_tid_x_f_tek_d_0_01)))</f>
        <v>0</v>
      </c>
      <c r="AG15" s="572">
        <f>IF(('Tillegg- Inndata Øvrige'!G13) = 0, 0,'Tillegg- Inndata Øvrige'!X13*Faktorer!$Z$58)</f>
        <v>0</v>
      </c>
      <c r="AH15" s="573">
        <f>IF(('Tillegg- Inndata Øvrige'!G13) = 0, 0,'Tillegg- Inndata Øvrige'!Z13+('Tillegg- Inndata Øvrige'!X13+'Tillegg- Inndata Øvrige'!Y13)*(1-Faktorer!$Z$58)*0.5)</f>
        <v>0</v>
      </c>
      <c r="AI15" s="574">
        <f>IF(('Tillegg- Inndata Øvrige'!G13) = 0, 0,'Tillegg- Inndata Øvrige'!AA13+('Tillegg- Inndata Øvrige'!X13+'Tillegg- Inndata Øvrige'!Y13)*(1-Faktorer!$Z$58)*0.5)</f>
        <v>0</v>
      </c>
      <c r="AJ15" s="1"/>
      <c r="AK15" s="90">
        <f t="shared" ref="AK15:AK78" si="1">F15</f>
        <v>0</v>
      </c>
      <c r="AL15" s="91">
        <f>'Tillegg- Res. Det. Øvrige'!N15</f>
        <v>0</v>
      </c>
      <c r="AM15" s="91" t="str">
        <f>IF(F15=0,"",('Tillegg- Inndata Øvrige'!E15+'Tillegg- Inndata Øvrige'!F15)*ROUNDDOWN('Tillegg- Inndata Øvrige'!I15,0)*(1+'Tillegg- Inndata Øvrige'!K15))</f>
        <v/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2:67" s="183" customFormat="1">
      <c r="B16" s="327">
        <f>'Tillegg- Inndata Øvrige'!B14</f>
        <v>0</v>
      </c>
      <c r="C16" s="327">
        <f>'Tillegg- Inndata Øvrige'!C14</f>
        <v>0</v>
      </c>
      <c r="D16" s="327">
        <f>'Tillegg- Inndata Øvrige'!D14</f>
        <v>0</v>
      </c>
      <c r="E16" s="421" cm="1">
        <f t="array" ref="E16">SUM(IFERROR(F16:AF16,0))</f>
        <v>0</v>
      </c>
      <c r="F16" s="330">
        <f>'Tillegg- Inndata Øvrige'!E14</f>
        <v>0</v>
      </c>
      <c r="G16" s="330">
        <f>IF('Tillegg- Inndata Øvrige'!AB14="Ja", -0.8*$F16, 0)</f>
        <v>0</v>
      </c>
      <c r="H16" s="330">
        <f>IF('Tillegg- Inndata Øvrige'!AC14="Ja", -0.4*$F16, 0)</f>
        <v>0</v>
      </c>
      <c r="I16" s="330">
        <f>IF('Tillegg- Inndata Øvrige'!AD14="Ja", -1*$F16, 0)</f>
        <v>0</v>
      </c>
      <c r="J16" s="330">
        <f>'Tillegg- Inndata Øvrige'!O14*'Tillegg- Inndata Øvrige'!P14</f>
        <v>0</v>
      </c>
      <c r="K16" s="330">
        <f>MAX(-0.75*(SUM('Tillegg- Res. Det. Øvrige'!F16:J16)),-'Tillegg- Inndata Øvrige'!O14*'Tillegg- Inndata Øvrige'!Q14)</f>
        <v>0</v>
      </c>
      <c r="L16" s="330">
        <f>'Tillegg- Inndata Øvrige'!S14*'Tillegg- Inndata Øvrige'!T14</f>
        <v>0</v>
      </c>
      <c r="M16" s="330">
        <f>MAX(-0.75*(SUM('Tillegg- Res. Det. Øvrige'!F16:I16,L16)),-'Tillegg- Inndata Øvrige'!S14*'Tillegg- Inndata Øvrige'!U14)</f>
        <v>0</v>
      </c>
      <c r="N16" s="331">
        <f>'Tillegg- Inndata Øvrige'!F14</f>
        <v>0</v>
      </c>
      <c r="O16" s="330">
        <f>'Tillegg- Inndata Øvrige'!O14*'Tillegg- Inndata Øvrige'!R14</f>
        <v>0</v>
      </c>
      <c r="P16" s="332">
        <f>'Tillegg- Inndata Øvrige'!S14*'Tillegg- Inndata Øvrige'!V14</f>
        <v>0</v>
      </c>
      <c r="Q16" s="333">
        <f>SUM(F16:J16,L16)*'Tillegg- Inndata Øvrige'!K14</f>
        <v>0</v>
      </c>
      <c r="R16" s="333">
        <f>(K16+M16)*'Tillegg- Inndata Øvrige'!K14</f>
        <v>0</v>
      </c>
      <c r="S16" s="333">
        <f>SUM(N16:P16)*'Tillegg- Inndata Øvrige'!K14</f>
        <v>0</v>
      </c>
      <c r="T16" s="334">
        <f>('Tillegg- Inndata Øvrige'!G14+'Tillegg- Inndata Øvrige'!O14+'Tillegg- Inndata Øvrige'!S14)*'Tillegg- Inndata Øvrige'!K14*Transport_utslipp_til_avfallshånderting_per_kg</f>
        <v>0</v>
      </c>
      <c r="U16" s="330">
        <f>IF('Tillegg- Inndata Øvrige'!E14 = 0, 0, 1.833*'Tillegg- Inndata Øvrige'!X14*'Tillegg- Inndata Øvrige'!K14*('Tillegg- Inndata Øvrige'!G14*('Tillegg- Inndata Øvrige'!L14*0.5+'Tillegg- Inndata Øvrige'!M14*0.8) + (12/44)*('Tillegg- Inndata Øvrige'!O14*'Tillegg- Inndata Øvrige'!Q14+'Tillegg- Inndata Øvrige'!S14*'Tillegg- Inndata Øvrige'!U14)))</f>
        <v>0</v>
      </c>
      <c r="V16" s="335">
        <f>IF('Tillegg- Inndata Øvrige'!G14 = 0, 0,  MAX(-SUM(F16:J16,L16)*'Tillegg- Inndata Øvrige'!L14, -0.114*IF('Tillegg- Inndata Øvrige'!H14 &gt; 49, _xlfn.XLOOKUP(49, År_etter_ferdigstillelse, karbon_opptak_faktor), _xlfn.XLOOKUP('Tillegg- Inndata Øvrige'!H14, År_etter_ferdigstillelse, karbon_opptak_faktor))*'Tillegg- Inndata Øvrige'!G14*'Tillegg- Inndata Øvrige'!L14*0.5))</f>
        <v>0</v>
      </c>
      <c r="W16" s="333">
        <f>IF('Tillegg- Inndata Øvrige'!G14=0,0,IF('Tillegg- Inndata Øvrige'!H14&gt;49,-0.064*'Tillegg- Inndata Øvrige'!G14*'Tillegg- Inndata Øvrige'!N14,-0.037*'Tillegg- Inndata Øvrige'!J14*'Tillegg- Inndata Øvrige'!N14))</f>
        <v>0</v>
      </c>
      <c r="X16" s="331" cm="1">
        <f t="array" ref="X16">IF(SUM(F16:J16,L16)=0, 0, SUM(F16:J16,L16)*(1+'Tillegg-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Y16" s="330" cm="1">
        <f t="array" ref="Y16">IF(X16=0, 0, SUM(K16,M16)*(1+'Tillegg-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Z16" s="336" cm="1">
        <f t="array" ref="Z16">IF(X16=0, 0, SUM(N16:P16)*(1+'Tillegg-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A16" s="336" cm="1">
        <f t="array" ref="AA16">IF(X16=0, 0, ('Tillegg- Inndata Øvrige'!G14+'Tillegg- Inndata Øvrige'!O14+'Tillegg- Inndata Øvrige'!S14)*(1+'Tillegg- Inndata Øvrige'!K14)*Transport_utslipp_til_avfallshånderting_per_kg*IF('Tillegg-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B16" s="334" cm="1">
        <f t="array" ref="AB16">IF(X16=0, 0,1.833*'Tillegg- Inndata Øvrige'!J14*('Tillegg- Inndata Øvrige'!X14*_xlfn.XLOOKUP(IF('Tillegg- Inndata Øvrige'!I14&lt;2,'Tillegg- Inndata Øvrige'!H14,'Tillegg- Inndata Øvrige'!H14*2), År_etter_ferdigstillelse, Faktorer!$Z$7:$Z$58))*('Tillegg- Inndata Øvrige'!L14*0.5+'Tillegg- Inndata Øvrige'!M14*0.8)*_xlfn.XLOOKUP(IF('Tillegg- Inndata Øvrige'!I14&lt;2,'Tillegg- Inndata Øvrige'!H14,'Tillegg- Inndata Øvrige'!H14*2), År_etter_ferdigstillelse,  IF(LEFT('Tillegg- Inndata Øvrige'!B14, 2)= 49, f_tid_x_f_tek_d_0_037, f_tid_x_f_tek_d_0_01)))</f>
        <v>0</v>
      </c>
      <c r="AC16" s="335">
        <f>IF(('Tillegg- Inndata Øvrige'!G14) = 0, 0,('Tillegg- Inndata Øvrige'!G14*((AG16+AI16)*Transport_utslipp_til_avfallshånderting_per_kg)+('Tillegg- Inndata Øvrige'!Z14*'ZERO-B Beregning'!D116)*IF('ZERO-B Beregning'!F117=0,'ZERO-B Beregning'!D117,'ZERO-B Beregning'!F117))*_xlfn.XLOOKUP(51, År_etter_ferdigstillelse, f_tid_x_f_tek_d_0_01))</f>
        <v>0</v>
      </c>
      <c r="AD16" s="337">
        <f>IF(('Tillegg- Inndata Øvrige'!G14) = 0, 0,1.833*('Tillegg- Inndata Øvrige'!G14*('Tillegg- Inndata Øvrige'!L14*0.5+'Tillegg- Inndata Øvrige'!M14*0.8)*AG16*_xlfn.XLOOKUP(51, År_etter_ferdigstillelse,  f_tid_x_f_tek_d_0_01)))</f>
        <v>0</v>
      </c>
      <c r="AE16" s="333" cm="1">
        <f t="array" ref="AE16">IF(('Tillegg- Inndata Øvrige'!G14) = 0, 0,-0.8*('Tillegg- Inndata Øvrige'!G14)*AH16*('Tillegg- Inndata Øvrige'!E14/'Tillegg- Inndata Øvrige'!G14)*_xlfn.XLOOKUP(51, År_etter_ferdigstillelse,  IF(LEFT('Tillegg- Inndata Øvrige'!B14, 2)= 49, f_tid_x_f_tek_d_0_037, f_tid_x_f_tek_d_0_01)))</f>
        <v>0</v>
      </c>
      <c r="AF16" s="338" cm="1">
        <f t="array" ref="AF16">IF(('Tillegg- Inndata Øvrige'!G14) = 0, 0,-0.1*('Tillegg- Inndata Øvrige'!G14)*AI16*('Tillegg- Inndata Øvrige'!E14/'Tillegg- Inndata Øvrige'!G14)*_xlfn.XLOOKUP(51, År_etter_ferdigstillelse,  IF(LEFT('Tillegg- Inndata Øvrige'!B14, 2)= 49, f_tid_x_f_tek_d_0_037, f_tid_x_f_tek_d_0_01)))</f>
        <v>0</v>
      </c>
      <c r="AG16" s="572">
        <f>IF(('Tillegg- Inndata Øvrige'!G14) = 0, 0,'Tillegg- Inndata Øvrige'!X14*Faktorer!$Z$58)</f>
        <v>0</v>
      </c>
      <c r="AH16" s="573">
        <f>IF(('Tillegg- Inndata Øvrige'!G14) = 0, 0,'Tillegg- Inndata Øvrige'!Z14+('Tillegg- Inndata Øvrige'!X14+'Tillegg- Inndata Øvrige'!Y14)*(1-Faktorer!$Z$58)*0.5)</f>
        <v>0</v>
      </c>
      <c r="AI16" s="574">
        <f>IF(('Tillegg- Inndata Øvrige'!G14) = 0, 0,'Tillegg- Inndata Øvrige'!AA14+('Tillegg- Inndata Øvrige'!X14+'Tillegg- Inndata Øvrige'!Y14)*(1-Faktorer!$Z$58)*0.5)</f>
        <v>0</v>
      </c>
      <c r="AJ16" s="1"/>
      <c r="AK16" s="90">
        <f t="shared" si="1"/>
        <v>0</v>
      </c>
      <c r="AL16" s="91">
        <f>'Tillegg- Res. Det. Øvrige'!N16</f>
        <v>0</v>
      </c>
      <c r="AM16" s="91" t="str">
        <f>IF(F16=0,"",('Tillegg- Inndata Øvrige'!E16+'Tillegg- Inndata Øvrige'!F16)*ROUNDDOWN('Tillegg- Inndata Øvrige'!I16,0)*(1+'Tillegg- Inndata Øvrige'!K16))</f>
        <v/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2:67" s="183" customFormat="1">
      <c r="B17" s="327">
        <f>'Tillegg- Inndata Øvrige'!B15</f>
        <v>0</v>
      </c>
      <c r="C17" s="327">
        <f>'Tillegg- Inndata Øvrige'!C15</f>
        <v>0</v>
      </c>
      <c r="D17" s="327">
        <f>'Tillegg- Inndata Øvrige'!D15</f>
        <v>0</v>
      </c>
      <c r="E17" s="421" cm="1">
        <f t="array" ref="E17">SUM(IFERROR(F17:AF17,0))</f>
        <v>0</v>
      </c>
      <c r="F17" s="330">
        <f>'Tillegg- Inndata Øvrige'!E15</f>
        <v>0</v>
      </c>
      <c r="G17" s="330">
        <f>IF('Tillegg- Inndata Øvrige'!AB15="Ja", -0.8*$F17, 0)</f>
        <v>0</v>
      </c>
      <c r="H17" s="330">
        <f>IF('Tillegg- Inndata Øvrige'!AC15="Ja", -0.4*$F17, 0)</f>
        <v>0</v>
      </c>
      <c r="I17" s="330">
        <f>IF('Tillegg- Inndata Øvrige'!AD15="Ja", -1*$F17, 0)</f>
        <v>0</v>
      </c>
      <c r="J17" s="330">
        <f>'Tillegg- Inndata Øvrige'!O15*'Tillegg- Inndata Øvrige'!P15</f>
        <v>0</v>
      </c>
      <c r="K17" s="330">
        <f>MAX(-0.75*(SUM('Tillegg- Res. Det. Øvrige'!F17:J17)),-'Tillegg- Inndata Øvrige'!O15*'Tillegg- Inndata Øvrige'!Q15)</f>
        <v>0</v>
      </c>
      <c r="L17" s="330">
        <f>'Tillegg- Inndata Øvrige'!S15*'Tillegg- Inndata Øvrige'!T15</f>
        <v>0</v>
      </c>
      <c r="M17" s="330">
        <f>MAX(-0.75*(SUM('Tillegg- Res. Det. Øvrige'!F17:I17,L17)),-'Tillegg- Inndata Øvrige'!S15*'Tillegg- Inndata Øvrige'!U15)</f>
        <v>0</v>
      </c>
      <c r="N17" s="331">
        <f>'Tillegg- Inndata Øvrige'!F15</f>
        <v>0</v>
      </c>
      <c r="O17" s="330">
        <f>'Tillegg- Inndata Øvrige'!O15*'Tillegg- Inndata Øvrige'!R15</f>
        <v>0</v>
      </c>
      <c r="P17" s="332">
        <f>'Tillegg- Inndata Øvrige'!S15*'Tillegg- Inndata Øvrige'!V15</f>
        <v>0</v>
      </c>
      <c r="Q17" s="333">
        <f>SUM(F17:J17,L17)*'Tillegg- Inndata Øvrige'!K15</f>
        <v>0</v>
      </c>
      <c r="R17" s="333">
        <f>(K17+M17)*'Tillegg- Inndata Øvrige'!K15</f>
        <v>0</v>
      </c>
      <c r="S17" s="333">
        <f>SUM(N17:P17)*'Tillegg- Inndata Øvrige'!K15</f>
        <v>0</v>
      </c>
      <c r="T17" s="334">
        <f>('Tillegg- Inndata Øvrige'!G15+'Tillegg- Inndata Øvrige'!O15+'Tillegg- Inndata Øvrige'!S15)*'Tillegg- Inndata Øvrige'!K15*Transport_utslipp_til_avfallshånderting_per_kg</f>
        <v>0</v>
      </c>
      <c r="U17" s="330">
        <f>IF('Tillegg- Inndata Øvrige'!E15 = 0, 0, 1.833*'Tillegg- Inndata Øvrige'!X15*'Tillegg- Inndata Øvrige'!K15*('Tillegg- Inndata Øvrige'!G15*('Tillegg- Inndata Øvrige'!L15*0.5+'Tillegg- Inndata Øvrige'!M15*0.8) + (12/44)*('Tillegg- Inndata Øvrige'!O15*'Tillegg- Inndata Øvrige'!Q15+'Tillegg- Inndata Øvrige'!S15*'Tillegg- Inndata Øvrige'!U15)))</f>
        <v>0</v>
      </c>
      <c r="V17" s="335">
        <f>IF('Tillegg- Inndata Øvrige'!G15 = 0, 0,  MAX(-SUM(F17:J17,L17)*'Tillegg- Inndata Øvrige'!L15, -0.114*IF('Tillegg- Inndata Øvrige'!H15 &gt; 49, _xlfn.XLOOKUP(49, År_etter_ferdigstillelse, karbon_opptak_faktor), _xlfn.XLOOKUP('Tillegg- Inndata Øvrige'!H15, År_etter_ferdigstillelse, karbon_opptak_faktor))*'Tillegg- Inndata Øvrige'!G15*'Tillegg- Inndata Øvrige'!L15*0.5))</f>
        <v>0</v>
      </c>
      <c r="W17" s="333">
        <f>IF('Tillegg- Inndata Øvrige'!G15=0,0,IF('Tillegg- Inndata Øvrige'!H15&gt;49,-0.064*'Tillegg- Inndata Øvrige'!G15*'Tillegg- Inndata Øvrige'!N15,-0.037*'Tillegg- Inndata Øvrige'!J15*'Tillegg- Inndata Øvrige'!N15))</f>
        <v>0</v>
      </c>
      <c r="X17" s="331" cm="1">
        <f t="array" ref="X17">IF(SUM(F17:J17,L17)=0, 0, SUM(F17:J17,L17)*(1+'Tillegg-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Y17" s="330" cm="1">
        <f t="array" ref="Y17">IF(X17=0, 0, SUM(K17,M17)*(1+'Tillegg-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Z17" s="336" cm="1">
        <f t="array" ref="Z17">IF(X17=0, 0, SUM(N17:P17)*(1+'Tillegg-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A17" s="336" cm="1">
        <f t="array" ref="AA17">IF(X17=0, 0, ('Tillegg- Inndata Øvrige'!G15+'Tillegg- Inndata Øvrige'!O15+'Tillegg- Inndata Øvrige'!S15)*(1+'Tillegg- Inndata Øvrige'!K15)*Transport_utslipp_til_avfallshånderting_per_kg*IF('Tillegg-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B17" s="334" cm="1">
        <f t="array" ref="AB17">IF(X17=0, 0,1.833*'Tillegg- Inndata Øvrige'!J15*('Tillegg- Inndata Øvrige'!X15*_xlfn.XLOOKUP(IF('Tillegg- Inndata Øvrige'!I15&lt;2,'Tillegg- Inndata Øvrige'!H15,'Tillegg- Inndata Øvrige'!H15*2), År_etter_ferdigstillelse, Faktorer!$Z$7:$Z$58))*('Tillegg- Inndata Øvrige'!L15*0.5+'Tillegg- Inndata Øvrige'!M15*0.8)*_xlfn.XLOOKUP(IF('Tillegg- Inndata Øvrige'!I15&lt;2,'Tillegg- Inndata Øvrige'!H15,'Tillegg- Inndata Øvrige'!H15*2), År_etter_ferdigstillelse,  IF(LEFT('Tillegg- Inndata Øvrige'!B15, 2)= 49, f_tid_x_f_tek_d_0_037, f_tid_x_f_tek_d_0_01)))</f>
        <v>0</v>
      </c>
      <c r="AC17" s="335">
        <f>IF(('Tillegg- Inndata Øvrige'!G15) = 0, 0,('Tillegg- Inndata Øvrige'!G15*((AG17+AI17)*Transport_utslipp_til_avfallshånderting_per_kg)+('Tillegg- Inndata Øvrige'!Z15*'ZERO-B Beregning'!D117)*IF('ZERO-B Beregning'!F118=0,'ZERO-B Beregning'!D118,'ZERO-B Beregning'!F118))*_xlfn.XLOOKUP(51, År_etter_ferdigstillelse, f_tid_x_f_tek_d_0_01))</f>
        <v>0</v>
      </c>
      <c r="AD17" s="337">
        <f>IF(('Tillegg- Inndata Øvrige'!G15) = 0, 0,1.833*('Tillegg- Inndata Øvrige'!G15*('Tillegg- Inndata Øvrige'!L15*0.5+'Tillegg- Inndata Øvrige'!M15*0.8)*AG17*_xlfn.XLOOKUP(51, År_etter_ferdigstillelse,  f_tid_x_f_tek_d_0_01)))</f>
        <v>0</v>
      </c>
      <c r="AE17" s="333" cm="1">
        <f t="array" ref="AE17">IF(('Tillegg- Inndata Øvrige'!G15) = 0, 0,-0.8*('Tillegg- Inndata Øvrige'!G15)*AH17*('Tillegg- Inndata Øvrige'!E15/'Tillegg- Inndata Øvrige'!G15)*_xlfn.XLOOKUP(51, År_etter_ferdigstillelse,  IF(LEFT('Tillegg- Inndata Øvrige'!B15, 2)= 49, f_tid_x_f_tek_d_0_037, f_tid_x_f_tek_d_0_01)))</f>
        <v>0</v>
      </c>
      <c r="AF17" s="338" cm="1">
        <f t="array" ref="AF17">IF(('Tillegg- Inndata Øvrige'!G15) = 0, 0,-0.1*('Tillegg- Inndata Øvrige'!G15)*AI17*('Tillegg- Inndata Øvrige'!E15/'Tillegg- Inndata Øvrige'!G15)*_xlfn.XLOOKUP(51, År_etter_ferdigstillelse,  IF(LEFT('Tillegg- Inndata Øvrige'!B15, 2)= 49, f_tid_x_f_tek_d_0_037, f_tid_x_f_tek_d_0_01)))</f>
        <v>0</v>
      </c>
      <c r="AG17" s="572">
        <f>IF(('Tillegg- Inndata Øvrige'!G15) = 0, 0,'Tillegg- Inndata Øvrige'!X15*Faktorer!$Z$58)</f>
        <v>0</v>
      </c>
      <c r="AH17" s="573">
        <f>IF(('Tillegg- Inndata Øvrige'!G15) = 0, 0,'Tillegg- Inndata Øvrige'!Z15+('Tillegg- Inndata Øvrige'!X15+'Tillegg- Inndata Øvrige'!Y15)*(1-Faktorer!$Z$58)*0.5)</f>
        <v>0</v>
      </c>
      <c r="AI17" s="574">
        <f>IF(('Tillegg- Inndata Øvrige'!G15) = 0, 0,'Tillegg- Inndata Øvrige'!AA15+('Tillegg- Inndata Øvrige'!X15+'Tillegg- Inndata Øvrige'!Y15)*(1-Faktorer!$Z$58)*0.5)</f>
        <v>0</v>
      </c>
      <c r="AJ17" s="1"/>
      <c r="AK17" s="90">
        <f t="shared" si="1"/>
        <v>0</v>
      </c>
      <c r="AL17" s="91">
        <f>'Tillegg- Res. Det. Øvrige'!N17</f>
        <v>0</v>
      </c>
      <c r="AM17" s="91" t="str">
        <f>IF(F17=0,"",('Tillegg- Inndata Øvrige'!E17+'Tillegg- Inndata Øvrige'!F17)*ROUNDDOWN('Tillegg- Inndata Øvrige'!I17,0)*(1+'Tillegg- Inndata Øvrige'!K17))</f>
        <v/>
      </c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2:67" s="183" customFormat="1">
      <c r="B18" s="327">
        <f>'Tillegg- Inndata Øvrige'!B16</f>
        <v>0</v>
      </c>
      <c r="C18" s="327">
        <f>'Tillegg- Inndata Øvrige'!C16</f>
        <v>0</v>
      </c>
      <c r="D18" s="327">
        <f>'Tillegg- Inndata Øvrige'!D16</f>
        <v>0</v>
      </c>
      <c r="E18" s="421" cm="1">
        <f t="array" ref="E18">SUM(IFERROR(F18:AF18,0))</f>
        <v>0</v>
      </c>
      <c r="F18" s="330">
        <f>'Tillegg- Inndata Øvrige'!E16</f>
        <v>0</v>
      </c>
      <c r="G18" s="330">
        <f>IF('Tillegg- Inndata Øvrige'!AB16="Ja", -0.8*$F18, 0)</f>
        <v>0</v>
      </c>
      <c r="H18" s="330">
        <f>IF('Tillegg- Inndata Øvrige'!AC16="Ja", -0.4*$F18, 0)</f>
        <v>0</v>
      </c>
      <c r="I18" s="330">
        <f>IF('Tillegg- Inndata Øvrige'!AD16="Ja", -1*$F18, 0)</f>
        <v>0</v>
      </c>
      <c r="J18" s="330">
        <f>'Tillegg- Inndata Øvrige'!O16*'Tillegg- Inndata Øvrige'!P16</f>
        <v>0</v>
      </c>
      <c r="K18" s="330">
        <f>MAX(-0.75*(SUM('Tillegg- Res. Det. Øvrige'!F18:J18)),-'Tillegg- Inndata Øvrige'!O16*'Tillegg- Inndata Øvrige'!Q16)</f>
        <v>0</v>
      </c>
      <c r="L18" s="330">
        <f>'Tillegg- Inndata Øvrige'!S16*'Tillegg- Inndata Øvrige'!T16</f>
        <v>0</v>
      </c>
      <c r="M18" s="330">
        <f>MAX(-0.75*(SUM('Tillegg- Res. Det. Øvrige'!F18:I18,L18)),-'Tillegg- Inndata Øvrige'!S16*'Tillegg- Inndata Øvrige'!U16)</f>
        <v>0</v>
      </c>
      <c r="N18" s="331">
        <f>'Tillegg- Inndata Øvrige'!F16</f>
        <v>0</v>
      </c>
      <c r="O18" s="330">
        <f>'Tillegg- Inndata Øvrige'!O16*'Tillegg- Inndata Øvrige'!R16</f>
        <v>0</v>
      </c>
      <c r="P18" s="332">
        <f>'Tillegg- Inndata Øvrige'!S16*'Tillegg- Inndata Øvrige'!V16</f>
        <v>0</v>
      </c>
      <c r="Q18" s="333">
        <f>SUM(F18:J18,L18)*'Tillegg- Inndata Øvrige'!K16</f>
        <v>0</v>
      </c>
      <c r="R18" s="333">
        <f>(K18+M18)*'Tillegg- Inndata Øvrige'!K16</f>
        <v>0</v>
      </c>
      <c r="S18" s="333">
        <f>SUM(N18:P18)*'Tillegg- Inndata Øvrige'!K16</f>
        <v>0</v>
      </c>
      <c r="T18" s="334">
        <f>('Tillegg- Inndata Øvrige'!G16+'Tillegg- Inndata Øvrige'!O16+'Tillegg- Inndata Øvrige'!S16)*'Tillegg- Inndata Øvrige'!K16*Transport_utslipp_til_avfallshånderting_per_kg</f>
        <v>0</v>
      </c>
      <c r="U18" s="330">
        <f>IF('Tillegg- Inndata Øvrige'!E16 = 0, 0, 1.833*'Tillegg- Inndata Øvrige'!X16*'Tillegg- Inndata Øvrige'!K16*('Tillegg- Inndata Øvrige'!G16*('Tillegg- Inndata Øvrige'!L16*0.5+'Tillegg- Inndata Øvrige'!M16*0.8) + (12/44)*('Tillegg- Inndata Øvrige'!O16*'Tillegg- Inndata Øvrige'!Q16+'Tillegg- Inndata Øvrige'!S16*'Tillegg- Inndata Øvrige'!U16)))</f>
        <v>0</v>
      </c>
      <c r="V18" s="335">
        <f>IF('Tillegg- Inndata Øvrige'!G16 = 0, 0,  MAX(-SUM(F18:J18,L18)*'Tillegg- Inndata Øvrige'!L16, -0.114*IF('Tillegg- Inndata Øvrige'!H16 &gt; 49, _xlfn.XLOOKUP(49, År_etter_ferdigstillelse, karbon_opptak_faktor), _xlfn.XLOOKUP('Tillegg- Inndata Øvrige'!H16, År_etter_ferdigstillelse, karbon_opptak_faktor))*'Tillegg- Inndata Øvrige'!G16*'Tillegg- Inndata Øvrige'!L16*0.5))</f>
        <v>0</v>
      </c>
      <c r="W18" s="333">
        <f>IF('Tillegg- Inndata Øvrige'!G16=0,0,IF('Tillegg- Inndata Øvrige'!H16&gt;49,-0.064*'Tillegg- Inndata Øvrige'!G16*'Tillegg- Inndata Øvrige'!N16,-0.037*'Tillegg- Inndata Øvrige'!J16*'Tillegg- Inndata Øvrige'!N16))</f>
        <v>0</v>
      </c>
      <c r="X18" s="331" cm="1">
        <f t="array" ref="X18">IF(SUM(F18:J18,L18)=0, 0, SUM(F18:J18,L18)*(1+'Tillegg-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Y18" s="330" cm="1">
        <f t="array" ref="Y18">IF(X18=0, 0, SUM(K18,M18)*(1+'Tillegg-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Z18" s="336" cm="1">
        <f t="array" ref="Z18">IF(X18=0, 0, SUM(N18:P18)*(1+'Tillegg-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A18" s="336" cm="1">
        <f t="array" ref="AA18">IF(X18=0, 0, ('Tillegg- Inndata Øvrige'!G16+'Tillegg- Inndata Øvrige'!O16+'Tillegg- Inndata Øvrige'!S16)*(1+'Tillegg- Inndata Øvrige'!K16)*Transport_utslipp_til_avfallshånderting_per_kg*IF('Tillegg-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B18" s="334" cm="1">
        <f t="array" ref="AB18">IF(X18=0, 0,1.833*'Tillegg- Inndata Øvrige'!J16*('Tillegg- Inndata Øvrige'!X16*_xlfn.XLOOKUP(IF('Tillegg- Inndata Øvrige'!I16&lt;2,'Tillegg- Inndata Øvrige'!H16,'Tillegg- Inndata Øvrige'!H16*2), År_etter_ferdigstillelse, Faktorer!$Z$7:$Z$58))*('Tillegg- Inndata Øvrige'!L16*0.5+'Tillegg- Inndata Øvrige'!M16*0.8)*_xlfn.XLOOKUP(IF('Tillegg- Inndata Øvrige'!I16&lt;2,'Tillegg- Inndata Øvrige'!H16,'Tillegg- Inndata Øvrige'!H16*2), År_etter_ferdigstillelse,  IF(LEFT('Tillegg- Inndata Øvrige'!B16, 2)= 49, f_tid_x_f_tek_d_0_037, f_tid_x_f_tek_d_0_01)))</f>
        <v>0</v>
      </c>
      <c r="AC18" s="335">
        <f>IF(('Tillegg- Inndata Øvrige'!G16) = 0, 0,('Tillegg- Inndata Øvrige'!G16*((AG18+AI18)*Transport_utslipp_til_avfallshånderting_per_kg)+('Tillegg- Inndata Øvrige'!Z16*'ZERO-B Beregning'!D118)*IF('ZERO-B Beregning'!F119=0,'ZERO-B Beregning'!D119,'ZERO-B Beregning'!F119))*_xlfn.XLOOKUP(51, År_etter_ferdigstillelse, f_tid_x_f_tek_d_0_01))</f>
        <v>0</v>
      </c>
      <c r="AD18" s="337">
        <f>IF(('Tillegg- Inndata Øvrige'!G16) = 0, 0,1.833*('Tillegg- Inndata Øvrige'!G16*('Tillegg- Inndata Øvrige'!L16*0.5+'Tillegg- Inndata Øvrige'!M16*0.8)*AG18*_xlfn.XLOOKUP(51, År_etter_ferdigstillelse,  f_tid_x_f_tek_d_0_01)))</f>
        <v>0</v>
      </c>
      <c r="AE18" s="333" cm="1">
        <f t="array" ref="AE18">IF(('Tillegg- Inndata Øvrige'!G16) = 0, 0,-0.8*('Tillegg- Inndata Øvrige'!G16)*AH18*('Tillegg- Inndata Øvrige'!E16/'Tillegg- Inndata Øvrige'!G16)*_xlfn.XLOOKUP(51, År_etter_ferdigstillelse,  IF(LEFT('Tillegg- Inndata Øvrige'!B16, 2)= 49, f_tid_x_f_tek_d_0_037, f_tid_x_f_tek_d_0_01)))</f>
        <v>0</v>
      </c>
      <c r="AF18" s="338" cm="1">
        <f t="array" ref="AF18">IF(('Tillegg- Inndata Øvrige'!G16) = 0, 0,-0.1*('Tillegg- Inndata Øvrige'!G16)*AI18*('Tillegg- Inndata Øvrige'!E16/'Tillegg- Inndata Øvrige'!G16)*_xlfn.XLOOKUP(51, År_etter_ferdigstillelse,  IF(LEFT('Tillegg- Inndata Øvrige'!B16, 2)= 49, f_tid_x_f_tek_d_0_037, f_tid_x_f_tek_d_0_01)))</f>
        <v>0</v>
      </c>
      <c r="AG18" s="572">
        <f>IF(('Tillegg- Inndata Øvrige'!G16) = 0, 0,'Tillegg- Inndata Øvrige'!X16*Faktorer!$Z$58)</f>
        <v>0</v>
      </c>
      <c r="AH18" s="573">
        <f>IF(('Tillegg- Inndata Øvrige'!G16) = 0, 0,'Tillegg- Inndata Øvrige'!Z16+('Tillegg- Inndata Øvrige'!X16+'Tillegg- Inndata Øvrige'!Y16)*(1-Faktorer!$Z$58)*0.5)</f>
        <v>0</v>
      </c>
      <c r="AI18" s="574">
        <f>IF(('Tillegg- Inndata Øvrige'!G16) = 0, 0,'Tillegg- Inndata Øvrige'!AA16+('Tillegg- Inndata Øvrige'!X16+'Tillegg- Inndata Øvrige'!Y16)*(1-Faktorer!$Z$58)*0.5)</f>
        <v>0</v>
      </c>
      <c r="AJ18" s="1"/>
      <c r="AK18" s="90">
        <f t="shared" si="1"/>
        <v>0</v>
      </c>
      <c r="AL18" s="91">
        <f>'Tillegg- Res. Det. Øvrige'!N18</f>
        <v>0</v>
      </c>
      <c r="AM18" s="91" t="str">
        <f>IF(F18=0,"",('Tillegg- Inndata Øvrige'!E18+'Tillegg- Inndata Øvrige'!F18)*ROUNDDOWN('Tillegg- Inndata Øvrige'!I18,0)*(1+'Tillegg- Inndata Øvrige'!K18))</f>
        <v/>
      </c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2:67" s="183" customFormat="1">
      <c r="B19" s="327">
        <f>'Tillegg- Inndata Øvrige'!B17</f>
        <v>0</v>
      </c>
      <c r="C19" s="327">
        <f>'Tillegg- Inndata Øvrige'!C17</f>
        <v>0</v>
      </c>
      <c r="D19" s="327">
        <f>'Tillegg- Inndata Øvrige'!D17</f>
        <v>0</v>
      </c>
      <c r="E19" s="421" cm="1">
        <f t="array" ref="E19">SUM(IFERROR(F19:AF19,0))</f>
        <v>0</v>
      </c>
      <c r="F19" s="330">
        <f>'Tillegg- Inndata Øvrige'!E17</f>
        <v>0</v>
      </c>
      <c r="G19" s="330">
        <f>IF('Tillegg- Inndata Øvrige'!AB17="Ja", -0.8*$F19, 0)</f>
        <v>0</v>
      </c>
      <c r="H19" s="330">
        <f>IF('Tillegg- Inndata Øvrige'!AC17="Ja", -0.4*$F19, 0)</f>
        <v>0</v>
      </c>
      <c r="I19" s="330">
        <f>IF('Tillegg- Inndata Øvrige'!AD17="Ja", -1*$F19, 0)</f>
        <v>0</v>
      </c>
      <c r="J19" s="330">
        <f>'Tillegg- Inndata Øvrige'!O17*'Tillegg- Inndata Øvrige'!P17</f>
        <v>0</v>
      </c>
      <c r="K19" s="330">
        <f>MAX(-0.75*(SUM('Tillegg- Res. Det. Øvrige'!F19:J19)),-'Tillegg- Inndata Øvrige'!O17*'Tillegg- Inndata Øvrige'!Q17)</f>
        <v>0</v>
      </c>
      <c r="L19" s="330">
        <f>'Tillegg- Inndata Øvrige'!S17*'Tillegg- Inndata Øvrige'!T17</f>
        <v>0</v>
      </c>
      <c r="M19" s="330">
        <f>MAX(-0.75*(SUM('Tillegg- Res. Det. Øvrige'!F19:I19,L19)),-'Tillegg- Inndata Øvrige'!S17*'Tillegg- Inndata Øvrige'!U17)</f>
        <v>0</v>
      </c>
      <c r="N19" s="331">
        <f>'Tillegg- Inndata Øvrige'!F17</f>
        <v>0</v>
      </c>
      <c r="O19" s="330">
        <f>'Tillegg- Inndata Øvrige'!O17*'Tillegg- Inndata Øvrige'!R17</f>
        <v>0</v>
      </c>
      <c r="P19" s="332">
        <f>'Tillegg- Inndata Øvrige'!S17*'Tillegg- Inndata Øvrige'!V17</f>
        <v>0</v>
      </c>
      <c r="Q19" s="333">
        <f>SUM(F19:J19,L19)*'Tillegg- Inndata Øvrige'!K17</f>
        <v>0</v>
      </c>
      <c r="R19" s="333">
        <f>(K19+M19)*'Tillegg- Inndata Øvrige'!K17</f>
        <v>0</v>
      </c>
      <c r="S19" s="333">
        <f>SUM(N19:P19)*'Tillegg- Inndata Øvrige'!K17</f>
        <v>0</v>
      </c>
      <c r="T19" s="334">
        <f>('Tillegg- Inndata Øvrige'!G17+'Tillegg- Inndata Øvrige'!O17+'Tillegg- Inndata Øvrige'!S17)*'Tillegg- Inndata Øvrige'!K17*Transport_utslipp_til_avfallshånderting_per_kg</f>
        <v>0</v>
      </c>
      <c r="U19" s="330">
        <f>IF('Tillegg- Inndata Øvrige'!E17 = 0, 0, 1.833*'Tillegg- Inndata Øvrige'!X17*'Tillegg- Inndata Øvrige'!K17*('Tillegg- Inndata Øvrige'!G17*('Tillegg- Inndata Øvrige'!L17*0.5+'Tillegg- Inndata Øvrige'!M17*0.8) + (12/44)*('Tillegg- Inndata Øvrige'!O17*'Tillegg- Inndata Øvrige'!Q17+'Tillegg- Inndata Øvrige'!S17*'Tillegg- Inndata Øvrige'!U17)))</f>
        <v>0</v>
      </c>
      <c r="V19" s="335">
        <f>IF('Tillegg- Inndata Øvrige'!G17 = 0, 0,  MAX(-SUM(F19:J19,L19)*'Tillegg- Inndata Øvrige'!L17, -0.114*IF('Tillegg- Inndata Øvrige'!H17 &gt; 49, _xlfn.XLOOKUP(49, År_etter_ferdigstillelse, karbon_opptak_faktor), _xlfn.XLOOKUP('Tillegg- Inndata Øvrige'!H17, År_etter_ferdigstillelse, karbon_opptak_faktor))*'Tillegg- Inndata Øvrige'!G17*'Tillegg- Inndata Øvrige'!L17*0.5))</f>
        <v>0</v>
      </c>
      <c r="W19" s="333">
        <f>IF('Tillegg- Inndata Øvrige'!G17=0,0,IF('Tillegg- Inndata Øvrige'!H17&gt;49,-0.064*'Tillegg- Inndata Øvrige'!G17*'Tillegg- Inndata Øvrige'!N17,-0.037*'Tillegg- Inndata Øvrige'!J17*'Tillegg- Inndata Øvrige'!N17))</f>
        <v>0</v>
      </c>
      <c r="X19" s="331" cm="1">
        <f t="array" ref="X19">IF(SUM(F19:J19,L19)=0, 0, SUM(F19:J19,L19)*(1+'Tillegg-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Y19" s="330" cm="1">
        <f t="array" ref="Y19">IF(X19=0, 0, SUM(K19,M19)*(1+'Tillegg-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Z19" s="336" cm="1">
        <f t="array" ref="Z19">IF(X19=0, 0, SUM(N19:P19)*(1+'Tillegg-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A19" s="336" cm="1">
        <f t="array" ref="AA19">IF(X19=0, 0, ('Tillegg- Inndata Øvrige'!G17+'Tillegg- Inndata Øvrige'!O17+'Tillegg- Inndata Øvrige'!S17)*(1+'Tillegg- Inndata Øvrige'!K17)*Transport_utslipp_til_avfallshånderting_per_kg*IF('Tillegg-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B19" s="334" cm="1">
        <f t="array" ref="AB19">IF(X19=0, 0,1.833*'Tillegg- Inndata Øvrige'!J17*('Tillegg- Inndata Øvrige'!X17*_xlfn.XLOOKUP(IF('Tillegg- Inndata Øvrige'!I17&lt;2,'Tillegg- Inndata Øvrige'!H17,'Tillegg- Inndata Øvrige'!H17*2), År_etter_ferdigstillelse, Faktorer!$Z$7:$Z$58))*('Tillegg- Inndata Øvrige'!L17*0.5+'Tillegg- Inndata Øvrige'!M17*0.8)*_xlfn.XLOOKUP(IF('Tillegg- Inndata Øvrige'!I17&lt;2,'Tillegg- Inndata Øvrige'!H17,'Tillegg- Inndata Øvrige'!H17*2), År_etter_ferdigstillelse,  IF(LEFT('Tillegg- Inndata Øvrige'!B17, 2)= 49, f_tid_x_f_tek_d_0_037, f_tid_x_f_tek_d_0_01)))</f>
        <v>0</v>
      </c>
      <c r="AC19" s="335">
        <f>IF(('Tillegg- Inndata Øvrige'!G17) = 0, 0,('Tillegg- Inndata Øvrige'!G17*((AG19+AI19)*Transport_utslipp_til_avfallshånderting_per_kg)+('Tillegg- Inndata Øvrige'!Z17*'ZERO-B Beregning'!D119)*IF('ZERO-B Beregning'!F120=0,'ZERO-B Beregning'!D120,'ZERO-B Beregning'!F120))*_xlfn.XLOOKUP(51, År_etter_ferdigstillelse, f_tid_x_f_tek_d_0_01))</f>
        <v>0</v>
      </c>
      <c r="AD19" s="337">
        <f>IF(('Tillegg- Inndata Øvrige'!G17) = 0, 0,1.833*('Tillegg- Inndata Øvrige'!G17*('Tillegg- Inndata Øvrige'!L17*0.5+'Tillegg- Inndata Øvrige'!M17*0.8)*AG19*_xlfn.XLOOKUP(51, År_etter_ferdigstillelse,  f_tid_x_f_tek_d_0_01)))</f>
        <v>0</v>
      </c>
      <c r="AE19" s="333" cm="1">
        <f t="array" ref="AE19">IF(('Tillegg- Inndata Øvrige'!G17) = 0, 0,-0.8*('Tillegg- Inndata Øvrige'!G17)*AH19*('Tillegg- Inndata Øvrige'!E17/'Tillegg- Inndata Øvrige'!G17)*_xlfn.XLOOKUP(51, År_etter_ferdigstillelse,  IF(LEFT('Tillegg- Inndata Øvrige'!B17, 2)= 49, f_tid_x_f_tek_d_0_037, f_tid_x_f_tek_d_0_01)))</f>
        <v>0</v>
      </c>
      <c r="AF19" s="338" cm="1">
        <f t="array" ref="AF19">IF(('Tillegg- Inndata Øvrige'!G17) = 0, 0,-0.1*('Tillegg- Inndata Øvrige'!G17)*AI19*('Tillegg- Inndata Øvrige'!E17/'Tillegg- Inndata Øvrige'!G17)*_xlfn.XLOOKUP(51, År_etter_ferdigstillelse,  IF(LEFT('Tillegg- Inndata Øvrige'!B17, 2)= 49, f_tid_x_f_tek_d_0_037, f_tid_x_f_tek_d_0_01)))</f>
        <v>0</v>
      </c>
      <c r="AG19" s="572">
        <f>IF(('Tillegg- Inndata Øvrige'!G17) = 0, 0,'Tillegg- Inndata Øvrige'!X17*Faktorer!$Z$58)</f>
        <v>0</v>
      </c>
      <c r="AH19" s="573">
        <f>IF(('Tillegg- Inndata Øvrige'!G17) = 0, 0,'Tillegg- Inndata Øvrige'!Z17+('Tillegg- Inndata Øvrige'!X17+'Tillegg- Inndata Øvrige'!Y17)*(1-Faktorer!$Z$58)*0.5)</f>
        <v>0</v>
      </c>
      <c r="AI19" s="574">
        <f>IF(('Tillegg- Inndata Øvrige'!G17) = 0, 0,'Tillegg- Inndata Øvrige'!AA17+('Tillegg- Inndata Øvrige'!X17+'Tillegg- Inndata Øvrige'!Y17)*(1-Faktorer!$Z$58)*0.5)</f>
        <v>0</v>
      </c>
      <c r="AJ19" s="1"/>
      <c r="AK19" s="90">
        <f t="shared" si="1"/>
        <v>0</v>
      </c>
      <c r="AL19" s="91">
        <f>'Tillegg- Res. Det. Øvrige'!N19</f>
        <v>0</v>
      </c>
      <c r="AM19" s="91" t="str">
        <f>IF(F19=0,"",('Tillegg- Inndata Øvrige'!E19+'Tillegg- Inndata Øvrige'!F19)*ROUNDDOWN('Tillegg- Inndata Øvrige'!I19,0)*(1+'Tillegg- Inndata Øvrige'!K19))</f>
        <v/>
      </c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2:67">
      <c r="B20" s="327">
        <f>'Tillegg- Inndata Øvrige'!B18</f>
        <v>0</v>
      </c>
      <c r="C20" s="327">
        <f>'Tillegg- Inndata Øvrige'!C18</f>
        <v>0</v>
      </c>
      <c r="D20" s="327">
        <f>'Tillegg- Inndata Øvrige'!D18</f>
        <v>0</v>
      </c>
      <c r="E20" s="421" cm="1">
        <f t="array" ref="E20">SUM(IFERROR(F20:AF20,0))</f>
        <v>0</v>
      </c>
      <c r="F20" s="330">
        <f>'Tillegg- Inndata Øvrige'!E18</f>
        <v>0</v>
      </c>
      <c r="G20" s="330">
        <f>IF('Tillegg- Inndata Øvrige'!AB18="Ja", -0.8*$F20, 0)</f>
        <v>0</v>
      </c>
      <c r="H20" s="330">
        <f>IF('Tillegg- Inndata Øvrige'!AC18="Ja", -0.4*$F20, 0)</f>
        <v>0</v>
      </c>
      <c r="I20" s="330">
        <f>IF('Tillegg- Inndata Øvrige'!AD18="Ja", -1*$F20, 0)</f>
        <v>0</v>
      </c>
      <c r="J20" s="330">
        <f>'Tillegg- Inndata Øvrige'!O18*'Tillegg- Inndata Øvrige'!P18</f>
        <v>0</v>
      </c>
      <c r="K20" s="330">
        <f>MAX(-0.75*(SUM('Tillegg- Res. Det. Øvrige'!F20:J20)),-'Tillegg- Inndata Øvrige'!O18*'Tillegg- Inndata Øvrige'!Q18)</f>
        <v>0</v>
      </c>
      <c r="L20" s="330">
        <f>'Tillegg- Inndata Øvrige'!S18*'Tillegg- Inndata Øvrige'!T18</f>
        <v>0</v>
      </c>
      <c r="M20" s="330">
        <f>MAX(-0.75*(SUM('Tillegg- Res. Det. Øvrige'!F20:I20,L20)),-'Tillegg- Inndata Øvrige'!S18*'Tillegg- Inndata Øvrige'!U18)</f>
        <v>0</v>
      </c>
      <c r="N20" s="331">
        <f>'Tillegg- Inndata Øvrige'!F18</f>
        <v>0</v>
      </c>
      <c r="O20" s="330">
        <f>'Tillegg- Inndata Øvrige'!O18*'Tillegg- Inndata Øvrige'!R18</f>
        <v>0</v>
      </c>
      <c r="P20" s="332">
        <f>'Tillegg- Inndata Øvrige'!S18*'Tillegg- Inndata Øvrige'!V18</f>
        <v>0</v>
      </c>
      <c r="Q20" s="333">
        <f>SUM(F20:J20,L20)*'Tillegg- Inndata Øvrige'!K18</f>
        <v>0</v>
      </c>
      <c r="R20" s="333">
        <f>(K20+M20)*'Tillegg- Inndata Øvrige'!K18</f>
        <v>0</v>
      </c>
      <c r="S20" s="333">
        <f>SUM(N20:P20)*'Tillegg- Inndata Øvrige'!K18</f>
        <v>0</v>
      </c>
      <c r="T20" s="334">
        <f>('Tillegg- Inndata Øvrige'!G18+'Tillegg- Inndata Øvrige'!O18+'Tillegg- Inndata Øvrige'!S18)*'Tillegg- Inndata Øvrige'!K18*Transport_utslipp_til_avfallshånderting_per_kg</f>
        <v>0</v>
      </c>
      <c r="U20" s="330">
        <f>IF('Tillegg- Inndata Øvrige'!E18 = 0, 0, 1.833*'Tillegg- Inndata Øvrige'!X18*'Tillegg- Inndata Øvrige'!K18*('Tillegg- Inndata Øvrige'!G18*('Tillegg- Inndata Øvrige'!L18*0.5+'Tillegg- Inndata Øvrige'!M18*0.8) + (12/44)*('Tillegg- Inndata Øvrige'!O18*'Tillegg- Inndata Øvrige'!Q18+'Tillegg- Inndata Øvrige'!S18*'Tillegg- Inndata Øvrige'!U18)))</f>
        <v>0</v>
      </c>
      <c r="V20" s="335">
        <f>IF('Tillegg- Inndata Øvrige'!G18 = 0, 0,  MAX(-SUM(F20:J20,L20)*'Tillegg- Inndata Øvrige'!L18, -0.114*IF('Tillegg- Inndata Øvrige'!H18 &gt; 49, _xlfn.XLOOKUP(49, År_etter_ferdigstillelse, karbon_opptak_faktor), _xlfn.XLOOKUP('Tillegg- Inndata Øvrige'!H18, År_etter_ferdigstillelse, karbon_opptak_faktor))*'Tillegg- Inndata Øvrige'!G18*'Tillegg- Inndata Øvrige'!L18*0.5))</f>
        <v>0</v>
      </c>
      <c r="W20" s="333">
        <f>IF('Tillegg- Inndata Øvrige'!G18=0,0,IF('Tillegg- Inndata Øvrige'!H18&gt;49,-0.064*'Tillegg- Inndata Øvrige'!G18*'Tillegg- Inndata Øvrige'!N18,-0.037*'Tillegg- Inndata Øvrige'!J18*'Tillegg- Inndata Øvrige'!N18))</f>
        <v>0</v>
      </c>
      <c r="X20" s="331" cm="1">
        <f t="array" ref="X20">IF(SUM(F20:J20,L20)=0, 0, SUM(F20:J20,L20)*(1+'Tillegg-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Y20" s="330" cm="1">
        <f t="array" ref="Y20">IF(X20=0, 0, SUM(K20,M20)*(1+'Tillegg-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Z20" s="336" cm="1">
        <f t="array" ref="Z20">IF(X20=0, 0, SUM(N20:P20)*(1+'Tillegg-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A20" s="336" cm="1">
        <f t="array" ref="AA20">IF(X20=0, 0, ('Tillegg- Inndata Øvrige'!G18+'Tillegg- Inndata Øvrige'!O18+'Tillegg- Inndata Øvrige'!S18)*(1+'Tillegg- Inndata Øvrige'!K18)*Transport_utslipp_til_avfallshånderting_per_kg*IF('Tillegg-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B20" s="334" cm="1">
        <f t="array" ref="AB20">IF(X20=0, 0,1.833*'Tillegg- Inndata Øvrige'!J18*('Tillegg- Inndata Øvrige'!X18*_xlfn.XLOOKUP(IF('Tillegg- Inndata Øvrige'!I18&lt;2,'Tillegg- Inndata Øvrige'!H18,'Tillegg- Inndata Øvrige'!H18*2), År_etter_ferdigstillelse, Faktorer!$Z$7:$Z$58))*('Tillegg- Inndata Øvrige'!L18*0.5+'Tillegg- Inndata Øvrige'!M18*0.8)*_xlfn.XLOOKUP(IF('Tillegg- Inndata Øvrige'!I18&lt;2,'Tillegg- Inndata Øvrige'!H18,'Tillegg- Inndata Øvrige'!H18*2), År_etter_ferdigstillelse,  IF(LEFT('Tillegg- Inndata Øvrige'!B18, 2)= 49, f_tid_x_f_tek_d_0_037, f_tid_x_f_tek_d_0_01)))</f>
        <v>0</v>
      </c>
      <c r="AC20" s="335">
        <f>IF(('Tillegg- Inndata Øvrige'!G18) = 0, 0,('Tillegg- Inndata Øvrige'!G18*((AG20+AI20)*Transport_utslipp_til_avfallshånderting_per_kg)+('Tillegg- Inndata Øvrige'!Z18*'ZERO-B Beregning'!D120)*IF('ZERO-B Beregning'!F121=0,'ZERO-B Beregning'!D121,'ZERO-B Beregning'!F121))*_xlfn.XLOOKUP(51, År_etter_ferdigstillelse, f_tid_x_f_tek_d_0_01))</f>
        <v>0</v>
      </c>
      <c r="AD20" s="337">
        <f>IF(('Tillegg- Inndata Øvrige'!G18) = 0, 0,1.833*('Tillegg- Inndata Øvrige'!G18*('Tillegg- Inndata Øvrige'!L18*0.5+'Tillegg- Inndata Øvrige'!M18*0.8)*AG20*_xlfn.XLOOKUP(51, År_etter_ferdigstillelse,  f_tid_x_f_tek_d_0_01)))</f>
        <v>0</v>
      </c>
      <c r="AE20" s="333" cm="1">
        <f t="array" ref="AE20">IF(('Tillegg- Inndata Øvrige'!G18) = 0, 0,-0.8*('Tillegg- Inndata Øvrige'!G18)*AH20*('Tillegg- Inndata Øvrige'!E18/'Tillegg- Inndata Øvrige'!G18)*_xlfn.XLOOKUP(51, År_etter_ferdigstillelse,  IF(LEFT('Tillegg- Inndata Øvrige'!B18, 2)= 49, f_tid_x_f_tek_d_0_037, f_tid_x_f_tek_d_0_01)))</f>
        <v>0</v>
      </c>
      <c r="AF20" s="338" cm="1">
        <f t="array" ref="AF20">IF(('Tillegg- Inndata Øvrige'!G18) = 0, 0,-0.1*('Tillegg- Inndata Øvrige'!G18)*AI20*('Tillegg- Inndata Øvrige'!E18/'Tillegg- Inndata Øvrige'!G18)*_xlfn.XLOOKUP(51, År_etter_ferdigstillelse,  IF(LEFT('Tillegg- Inndata Øvrige'!B18, 2)= 49, f_tid_x_f_tek_d_0_037, f_tid_x_f_tek_d_0_01)))</f>
        <v>0</v>
      </c>
      <c r="AG20" s="572">
        <f>IF(('Tillegg- Inndata Øvrige'!G18) = 0, 0,'Tillegg- Inndata Øvrige'!X18*Faktorer!$Z$58)</f>
        <v>0</v>
      </c>
      <c r="AH20" s="573">
        <f>IF(('Tillegg- Inndata Øvrige'!G18) = 0, 0,'Tillegg- Inndata Øvrige'!Z18+('Tillegg- Inndata Øvrige'!X18+'Tillegg- Inndata Øvrige'!Y18)*(1-Faktorer!$Z$58)*0.5)</f>
        <v>0</v>
      </c>
      <c r="AI20" s="574">
        <f>IF(('Tillegg- Inndata Øvrige'!G18) = 0, 0,'Tillegg- Inndata Øvrige'!AA18+('Tillegg- Inndata Øvrige'!X18+'Tillegg- Inndata Øvrige'!Y18)*(1-Faktorer!$Z$58)*0.5)</f>
        <v>0</v>
      </c>
      <c r="AK20" s="90">
        <f t="shared" si="1"/>
        <v>0</v>
      </c>
      <c r="AL20" s="91">
        <f>'Tillegg- Res. Det. Øvrige'!N20</f>
        <v>0</v>
      </c>
      <c r="AM20" s="91" t="str">
        <f>IF(F20=0,"",('Tillegg- Inndata Øvrige'!E20+'Tillegg- Inndata Øvrige'!F20)*ROUNDDOWN('Tillegg- Inndata Øvrige'!I20,0)*(1+'Tillegg- Inndata Øvrige'!K20))</f>
        <v/>
      </c>
      <c r="AO20" s="1"/>
    </row>
    <row r="21" spans="2:67">
      <c r="B21" s="327">
        <f>'Tillegg- Inndata Øvrige'!B19</f>
        <v>0</v>
      </c>
      <c r="C21" s="327">
        <f>'Tillegg- Inndata Øvrige'!C19</f>
        <v>0</v>
      </c>
      <c r="D21" s="327">
        <f>'Tillegg- Inndata Øvrige'!D19</f>
        <v>0</v>
      </c>
      <c r="E21" s="421" cm="1">
        <f t="array" ref="E21">SUM(IFERROR(F21:AF21,0))</f>
        <v>0</v>
      </c>
      <c r="F21" s="330">
        <f>'Tillegg- Inndata Øvrige'!E19</f>
        <v>0</v>
      </c>
      <c r="G21" s="330">
        <f>IF('Tillegg- Inndata Øvrige'!AB19="Ja", -0.8*$F21, 0)</f>
        <v>0</v>
      </c>
      <c r="H21" s="330">
        <f>IF('Tillegg- Inndata Øvrige'!AC19="Ja", -0.4*$F21, 0)</f>
        <v>0</v>
      </c>
      <c r="I21" s="330">
        <f>IF('Tillegg- Inndata Øvrige'!AD19="Ja", -1*$F21, 0)</f>
        <v>0</v>
      </c>
      <c r="J21" s="330">
        <f>'Tillegg- Inndata Øvrige'!O19*'Tillegg- Inndata Øvrige'!P19</f>
        <v>0</v>
      </c>
      <c r="K21" s="330">
        <f>MAX(-0.75*(SUM('Tillegg- Res. Det. Øvrige'!F21:J21)),-'Tillegg- Inndata Øvrige'!O19*'Tillegg- Inndata Øvrige'!Q19)</f>
        <v>0</v>
      </c>
      <c r="L21" s="330">
        <f>'Tillegg- Inndata Øvrige'!S19*'Tillegg- Inndata Øvrige'!T19</f>
        <v>0</v>
      </c>
      <c r="M21" s="330">
        <f>MAX(-0.75*(SUM('Tillegg- Res. Det. Øvrige'!F21:I21,L21)),-'Tillegg- Inndata Øvrige'!S19*'Tillegg- Inndata Øvrige'!U19)</f>
        <v>0</v>
      </c>
      <c r="N21" s="331">
        <f>'Tillegg- Inndata Øvrige'!F19</f>
        <v>0</v>
      </c>
      <c r="O21" s="330">
        <f>'Tillegg- Inndata Øvrige'!O19*'Tillegg- Inndata Øvrige'!R19</f>
        <v>0</v>
      </c>
      <c r="P21" s="332">
        <f>'Tillegg- Inndata Øvrige'!S19*'Tillegg- Inndata Øvrige'!V19</f>
        <v>0</v>
      </c>
      <c r="Q21" s="333">
        <f>SUM(F21:J21,L21)*'Tillegg- Inndata Øvrige'!K19</f>
        <v>0</v>
      </c>
      <c r="R21" s="333">
        <f>(K21+M21)*'Tillegg- Inndata Øvrige'!K19</f>
        <v>0</v>
      </c>
      <c r="S21" s="333">
        <f>SUM(N21:P21)*'Tillegg- Inndata Øvrige'!K19</f>
        <v>0</v>
      </c>
      <c r="T21" s="334">
        <f>('Tillegg- Inndata Øvrige'!G19+'Tillegg- Inndata Øvrige'!O19+'Tillegg- Inndata Øvrige'!S19)*'Tillegg- Inndata Øvrige'!K19*Transport_utslipp_til_avfallshånderting_per_kg</f>
        <v>0</v>
      </c>
      <c r="U21" s="330">
        <f>IF('Tillegg- Inndata Øvrige'!E19 = 0, 0, 1.833*'Tillegg- Inndata Øvrige'!X19*'Tillegg- Inndata Øvrige'!K19*('Tillegg- Inndata Øvrige'!G19*('Tillegg- Inndata Øvrige'!L19*0.5+'Tillegg- Inndata Øvrige'!M19*0.8) + (12/44)*('Tillegg- Inndata Øvrige'!O19*'Tillegg- Inndata Øvrige'!Q19+'Tillegg- Inndata Øvrige'!S19*'Tillegg- Inndata Øvrige'!U19)))</f>
        <v>0</v>
      </c>
      <c r="V21" s="335">
        <f>IF('Tillegg- Inndata Øvrige'!G19 = 0, 0,  MAX(-SUM(F21:J21,L21)*'Tillegg- Inndata Øvrige'!L19, -0.114*IF('Tillegg- Inndata Øvrige'!H19 &gt; 49, _xlfn.XLOOKUP(49, År_etter_ferdigstillelse, karbon_opptak_faktor), _xlfn.XLOOKUP('Tillegg- Inndata Øvrige'!H19, År_etter_ferdigstillelse, karbon_opptak_faktor))*'Tillegg- Inndata Øvrige'!G19*'Tillegg- Inndata Øvrige'!L19*0.5))</f>
        <v>0</v>
      </c>
      <c r="W21" s="333">
        <f>IF('Tillegg- Inndata Øvrige'!G19=0,0,IF('Tillegg- Inndata Øvrige'!H19&gt;49,-0.064*'Tillegg- Inndata Øvrige'!G19*'Tillegg- Inndata Øvrige'!N19,-0.037*'Tillegg- Inndata Øvrige'!J19*'Tillegg- Inndata Øvrige'!N19))</f>
        <v>0</v>
      </c>
      <c r="X21" s="331" cm="1">
        <f t="array" ref="X21">IF(SUM(F21:J21,L21)=0, 0, SUM(F21:J21,L21)*(1+'Tillegg-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Y21" s="330" cm="1">
        <f t="array" ref="Y21">IF(X21=0, 0, SUM(K21,M21)*(1+'Tillegg-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Z21" s="336" cm="1">
        <f t="array" ref="Z21">IF(X21=0, 0, SUM(N21:P21)*(1+'Tillegg-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A21" s="336" cm="1">
        <f t="array" ref="AA21">IF(X21=0, 0, ('Tillegg- Inndata Øvrige'!G19+'Tillegg- Inndata Øvrige'!O19+'Tillegg- Inndata Øvrige'!S19)*(1+'Tillegg- Inndata Øvrige'!K19)*Transport_utslipp_til_avfallshånderting_per_kg*IF('Tillegg-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B21" s="334" cm="1">
        <f t="array" ref="AB21">IF(X21=0, 0,1.833*'Tillegg- Inndata Øvrige'!J19*('Tillegg- Inndata Øvrige'!X19*_xlfn.XLOOKUP(IF('Tillegg- Inndata Øvrige'!I19&lt;2,'Tillegg- Inndata Øvrige'!H19,'Tillegg- Inndata Øvrige'!H19*2), År_etter_ferdigstillelse, Faktorer!$Z$7:$Z$58))*('Tillegg- Inndata Øvrige'!L19*0.5+'Tillegg- Inndata Øvrige'!M19*0.8)*_xlfn.XLOOKUP(IF('Tillegg- Inndata Øvrige'!I19&lt;2,'Tillegg- Inndata Øvrige'!H19,'Tillegg- Inndata Øvrige'!H19*2), År_etter_ferdigstillelse,  IF(LEFT('Tillegg- Inndata Øvrige'!B19, 2)= 49, f_tid_x_f_tek_d_0_037, f_tid_x_f_tek_d_0_01)))</f>
        <v>0</v>
      </c>
      <c r="AC21" s="335">
        <f>IF(('Tillegg- Inndata Øvrige'!G19) = 0, 0,('Tillegg- Inndata Øvrige'!G19*((AG21+AI21)*Transport_utslipp_til_avfallshånderting_per_kg)+('Tillegg- Inndata Øvrige'!Z19*'ZERO-B Beregning'!D121)*IF('ZERO-B Beregning'!F122=0,'ZERO-B Beregning'!D122,'ZERO-B Beregning'!F122))*_xlfn.XLOOKUP(51, År_etter_ferdigstillelse, f_tid_x_f_tek_d_0_01))</f>
        <v>0</v>
      </c>
      <c r="AD21" s="337">
        <f>IF(('Tillegg- Inndata Øvrige'!G19) = 0, 0,1.833*('Tillegg- Inndata Øvrige'!G19*('Tillegg- Inndata Øvrige'!L19*0.5+'Tillegg- Inndata Øvrige'!M19*0.8)*AG21*_xlfn.XLOOKUP(51, År_etter_ferdigstillelse,  f_tid_x_f_tek_d_0_01)))</f>
        <v>0</v>
      </c>
      <c r="AE21" s="333" cm="1">
        <f t="array" ref="AE21">IF(('Tillegg- Inndata Øvrige'!G19) = 0, 0,-0.8*('Tillegg- Inndata Øvrige'!G19)*AH21*('Tillegg- Inndata Øvrige'!E19/'Tillegg- Inndata Øvrige'!G19)*_xlfn.XLOOKUP(51, År_etter_ferdigstillelse,  IF(LEFT('Tillegg- Inndata Øvrige'!B19, 2)= 49, f_tid_x_f_tek_d_0_037, f_tid_x_f_tek_d_0_01)))</f>
        <v>0</v>
      </c>
      <c r="AF21" s="338" cm="1">
        <f t="array" ref="AF21">IF(('Tillegg- Inndata Øvrige'!G19) = 0, 0,-0.1*('Tillegg- Inndata Øvrige'!G19)*AI21*('Tillegg- Inndata Øvrige'!E19/'Tillegg- Inndata Øvrige'!G19)*_xlfn.XLOOKUP(51, År_etter_ferdigstillelse,  IF(LEFT('Tillegg- Inndata Øvrige'!B19, 2)= 49, f_tid_x_f_tek_d_0_037, f_tid_x_f_tek_d_0_01)))</f>
        <v>0</v>
      </c>
      <c r="AG21" s="572">
        <f>IF(('Tillegg- Inndata Øvrige'!G19) = 0, 0,'Tillegg- Inndata Øvrige'!X19*Faktorer!$Z$58)</f>
        <v>0</v>
      </c>
      <c r="AH21" s="573">
        <f>IF(('Tillegg- Inndata Øvrige'!G19) = 0, 0,'Tillegg- Inndata Øvrige'!Z19+('Tillegg- Inndata Øvrige'!X19+'Tillegg- Inndata Øvrige'!Y19)*(1-Faktorer!$Z$58)*0.5)</f>
        <v>0</v>
      </c>
      <c r="AI21" s="574">
        <f>IF(('Tillegg- Inndata Øvrige'!G19) = 0, 0,'Tillegg- Inndata Øvrige'!AA19+('Tillegg- Inndata Øvrige'!X19+'Tillegg- Inndata Øvrige'!Y19)*(1-Faktorer!$Z$58)*0.5)</f>
        <v>0</v>
      </c>
      <c r="AK21" s="90">
        <f t="shared" si="1"/>
        <v>0</v>
      </c>
      <c r="AL21" s="91">
        <f>'Tillegg- Res. Det. Øvrige'!N21</f>
        <v>0</v>
      </c>
      <c r="AM21" s="91" t="str">
        <f>IF(F21=0,"",('Tillegg- Inndata Øvrige'!E21+'Tillegg- Inndata Øvrige'!F21)*ROUNDDOWN('Tillegg- Inndata Øvrige'!I21,0)*(1+'Tillegg- Inndata Øvrige'!K21))</f>
        <v/>
      </c>
      <c r="AO21" s="1"/>
    </row>
    <row r="22" spans="2:67">
      <c r="B22" s="327">
        <f>'Tillegg- Inndata Øvrige'!B20</f>
        <v>0</v>
      </c>
      <c r="C22" s="327">
        <f>'Tillegg- Inndata Øvrige'!C20</f>
        <v>0</v>
      </c>
      <c r="D22" s="327">
        <f>'Tillegg- Inndata Øvrige'!D20</f>
        <v>0</v>
      </c>
      <c r="E22" s="421" cm="1">
        <f t="array" ref="E22">SUM(IFERROR(F22:AF22,0))</f>
        <v>0</v>
      </c>
      <c r="F22" s="330">
        <f>'Tillegg- Inndata Øvrige'!E20</f>
        <v>0</v>
      </c>
      <c r="G22" s="330">
        <f>IF('Tillegg- Inndata Øvrige'!AB20="Ja", -0.8*$F22, 0)</f>
        <v>0</v>
      </c>
      <c r="H22" s="330">
        <f>IF('Tillegg- Inndata Øvrige'!AC20="Ja", -0.4*$F22, 0)</f>
        <v>0</v>
      </c>
      <c r="I22" s="330">
        <f>IF('Tillegg- Inndata Øvrige'!AD20="Ja", -1*$F22, 0)</f>
        <v>0</v>
      </c>
      <c r="J22" s="330">
        <f>'Tillegg- Inndata Øvrige'!O20*'Tillegg- Inndata Øvrige'!P20</f>
        <v>0</v>
      </c>
      <c r="K22" s="330">
        <f>MAX(-0.75*(SUM('Tillegg- Res. Det. Øvrige'!F22:J22)),-'Tillegg- Inndata Øvrige'!O20*'Tillegg- Inndata Øvrige'!Q20)</f>
        <v>0</v>
      </c>
      <c r="L22" s="330">
        <f>'Tillegg- Inndata Øvrige'!S20*'Tillegg- Inndata Øvrige'!T20</f>
        <v>0</v>
      </c>
      <c r="M22" s="330">
        <f>MAX(-0.75*(SUM('Tillegg- Res. Det. Øvrige'!F22:I22,L22)),-'Tillegg- Inndata Øvrige'!S20*'Tillegg- Inndata Øvrige'!U20)</f>
        <v>0</v>
      </c>
      <c r="N22" s="331">
        <f>'Tillegg- Inndata Øvrige'!F20</f>
        <v>0</v>
      </c>
      <c r="O22" s="330">
        <f>'Tillegg- Inndata Øvrige'!O20*'Tillegg- Inndata Øvrige'!R20</f>
        <v>0</v>
      </c>
      <c r="P22" s="332">
        <f>'Tillegg- Inndata Øvrige'!S20*'Tillegg- Inndata Øvrige'!V20</f>
        <v>0</v>
      </c>
      <c r="Q22" s="333">
        <f>SUM(F22:J22,L22)*'Tillegg- Inndata Øvrige'!K20</f>
        <v>0</v>
      </c>
      <c r="R22" s="333">
        <f>(K22+M22)*'Tillegg- Inndata Øvrige'!K20</f>
        <v>0</v>
      </c>
      <c r="S22" s="333">
        <f>SUM(N22:P22)*'Tillegg- Inndata Øvrige'!K20</f>
        <v>0</v>
      </c>
      <c r="T22" s="334">
        <f>('Tillegg- Inndata Øvrige'!G20+'Tillegg- Inndata Øvrige'!O20+'Tillegg- Inndata Øvrige'!S20)*'Tillegg- Inndata Øvrige'!K20*Transport_utslipp_til_avfallshånderting_per_kg</f>
        <v>0</v>
      </c>
      <c r="U22" s="330">
        <f>IF('Tillegg- Inndata Øvrige'!E20 = 0, 0, 1.833*'Tillegg- Inndata Øvrige'!X20*'Tillegg- Inndata Øvrige'!K20*('Tillegg- Inndata Øvrige'!G20*('Tillegg- Inndata Øvrige'!L20*0.5+'Tillegg- Inndata Øvrige'!M20*0.8) + (12/44)*('Tillegg- Inndata Øvrige'!O20*'Tillegg- Inndata Øvrige'!Q20+'Tillegg- Inndata Øvrige'!S20*'Tillegg- Inndata Øvrige'!U20)))</f>
        <v>0</v>
      </c>
      <c r="V22" s="335">
        <f>IF('Tillegg- Inndata Øvrige'!G20 = 0, 0,  MAX(-SUM(F22:J22,L22)*'Tillegg- Inndata Øvrige'!L20, -0.114*IF('Tillegg- Inndata Øvrige'!H20 &gt; 49, _xlfn.XLOOKUP(49, År_etter_ferdigstillelse, karbon_opptak_faktor), _xlfn.XLOOKUP('Tillegg- Inndata Øvrige'!H20, År_etter_ferdigstillelse, karbon_opptak_faktor))*'Tillegg- Inndata Øvrige'!G20*'Tillegg- Inndata Øvrige'!L20*0.5))</f>
        <v>0</v>
      </c>
      <c r="W22" s="333">
        <f>IF('Tillegg- Inndata Øvrige'!G20=0,0,IF('Tillegg- Inndata Øvrige'!H20&gt;49,-0.064*'Tillegg- Inndata Øvrige'!G20*'Tillegg- Inndata Øvrige'!N20,-0.037*'Tillegg- Inndata Øvrige'!J20*'Tillegg- Inndata Øvrige'!N20))</f>
        <v>0</v>
      </c>
      <c r="X22" s="331" cm="1">
        <f t="array" ref="X22">IF(SUM(F22:J22,L22)=0, 0, SUM(F22:J22,L22)*(1+'Tillegg-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Y22" s="330" cm="1">
        <f t="array" ref="Y22">IF(X22=0, 0, SUM(K22,M22)*(1+'Tillegg-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Z22" s="336" cm="1">
        <f t="array" ref="Z22">IF(X22=0, 0, SUM(N22:P22)*(1+'Tillegg-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A22" s="336" cm="1">
        <f t="array" ref="AA22">IF(X22=0, 0, ('Tillegg- Inndata Øvrige'!G20+'Tillegg- Inndata Øvrige'!O20+'Tillegg- Inndata Øvrige'!S20)*(1+'Tillegg- Inndata Øvrige'!K20)*Transport_utslipp_til_avfallshånderting_per_kg*IF('Tillegg-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B22" s="334" cm="1">
        <f t="array" ref="AB22">IF(X22=0, 0,1.833*'Tillegg- Inndata Øvrige'!J20*('Tillegg- Inndata Øvrige'!X20*_xlfn.XLOOKUP(IF('Tillegg- Inndata Øvrige'!I20&lt;2,'Tillegg- Inndata Øvrige'!H20,'Tillegg- Inndata Øvrige'!H20*2), År_etter_ferdigstillelse, Faktorer!$Z$7:$Z$58))*('Tillegg- Inndata Øvrige'!L20*0.5+'Tillegg- Inndata Øvrige'!M20*0.8)*_xlfn.XLOOKUP(IF('Tillegg- Inndata Øvrige'!I20&lt;2,'Tillegg- Inndata Øvrige'!H20,'Tillegg- Inndata Øvrige'!H20*2), År_etter_ferdigstillelse,  IF(LEFT('Tillegg- Inndata Øvrige'!B20, 2)= 49, f_tid_x_f_tek_d_0_037, f_tid_x_f_tek_d_0_01)))</f>
        <v>0</v>
      </c>
      <c r="AC22" s="335">
        <f>IF(('Tillegg- Inndata Øvrige'!G20) = 0, 0,('Tillegg- Inndata Øvrige'!G20*((AG22+AI22)*Transport_utslipp_til_avfallshånderting_per_kg)+('Tillegg- Inndata Øvrige'!Z20*'ZERO-B Beregning'!D122)*IF('ZERO-B Beregning'!F123=0,'ZERO-B Beregning'!D123,'ZERO-B Beregning'!F123))*_xlfn.XLOOKUP(51, År_etter_ferdigstillelse, f_tid_x_f_tek_d_0_01))</f>
        <v>0</v>
      </c>
      <c r="AD22" s="337">
        <f>IF(('Tillegg- Inndata Øvrige'!G20) = 0, 0,1.833*('Tillegg- Inndata Øvrige'!G20*('Tillegg- Inndata Øvrige'!L20*0.5+'Tillegg- Inndata Øvrige'!M20*0.8)*AG22*_xlfn.XLOOKUP(51, År_etter_ferdigstillelse,  f_tid_x_f_tek_d_0_01)))</f>
        <v>0</v>
      </c>
      <c r="AE22" s="333" cm="1">
        <f t="array" ref="AE22">IF(('Tillegg- Inndata Øvrige'!G20) = 0, 0,-0.8*('Tillegg- Inndata Øvrige'!G20)*AH22*('Tillegg- Inndata Øvrige'!E20/'Tillegg- Inndata Øvrige'!G20)*_xlfn.XLOOKUP(51, År_etter_ferdigstillelse,  IF(LEFT('Tillegg- Inndata Øvrige'!B20, 2)= 49, f_tid_x_f_tek_d_0_037, f_tid_x_f_tek_d_0_01)))</f>
        <v>0</v>
      </c>
      <c r="AF22" s="338" cm="1">
        <f t="array" ref="AF22">IF(('Tillegg- Inndata Øvrige'!G20) = 0, 0,-0.1*('Tillegg- Inndata Øvrige'!G20)*AI22*('Tillegg- Inndata Øvrige'!E20/'Tillegg- Inndata Øvrige'!G20)*_xlfn.XLOOKUP(51, År_etter_ferdigstillelse,  IF(LEFT('Tillegg- Inndata Øvrige'!B20, 2)= 49, f_tid_x_f_tek_d_0_037, f_tid_x_f_tek_d_0_01)))</f>
        <v>0</v>
      </c>
      <c r="AG22" s="572">
        <f>IF(('Tillegg- Inndata Øvrige'!G20) = 0, 0,'Tillegg- Inndata Øvrige'!X20*Faktorer!$Z$58)</f>
        <v>0</v>
      </c>
      <c r="AH22" s="573">
        <f>IF(('Tillegg- Inndata Øvrige'!G20) = 0, 0,'Tillegg- Inndata Øvrige'!Z20+('Tillegg- Inndata Øvrige'!X20+'Tillegg- Inndata Øvrige'!Y20)*(1-Faktorer!$Z$58)*0.5)</f>
        <v>0</v>
      </c>
      <c r="AI22" s="574">
        <f>IF(('Tillegg- Inndata Øvrige'!G20) = 0, 0,'Tillegg- Inndata Øvrige'!AA20+('Tillegg- Inndata Øvrige'!X20+'Tillegg- Inndata Øvrige'!Y20)*(1-Faktorer!$Z$58)*0.5)</f>
        <v>0</v>
      </c>
      <c r="AK22" s="90">
        <f t="shared" si="1"/>
        <v>0</v>
      </c>
      <c r="AL22" s="91">
        <f>'Tillegg- Res. Det. Øvrige'!N22</f>
        <v>0</v>
      </c>
      <c r="AM22" s="91" t="str">
        <f>IF(F22=0,"",('Tillegg- Inndata Øvrige'!E22+'Tillegg- Inndata Øvrige'!F22)*ROUNDDOWN('Tillegg- Inndata Øvrige'!I22,0)*(1+'Tillegg- Inndata Øvrige'!K22))</f>
        <v/>
      </c>
      <c r="AO22" s="1"/>
    </row>
    <row r="23" spans="2:67">
      <c r="B23" s="327">
        <f>'Tillegg- Inndata Øvrige'!B21</f>
        <v>0</v>
      </c>
      <c r="C23" s="327">
        <f>'Tillegg- Inndata Øvrige'!C21</f>
        <v>0</v>
      </c>
      <c r="D23" s="327">
        <f>'Tillegg- Inndata Øvrige'!D21</f>
        <v>0</v>
      </c>
      <c r="E23" s="421" cm="1">
        <f t="array" ref="E23">SUM(IFERROR(F23:AF23,0))</f>
        <v>0</v>
      </c>
      <c r="F23" s="330">
        <f>'Tillegg- Inndata Øvrige'!E21</f>
        <v>0</v>
      </c>
      <c r="G23" s="330">
        <f>IF('Tillegg- Inndata Øvrige'!AB21="Ja", -0.8*$F23, 0)</f>
        <v>0</v>
      </c>
      <c r="H23" s="330">
        <f>IF('Tillegg- Inndata Øvrige'!AC21="Ja", -0.4*$F23, 0)</f>
        <v>0</v>
      </c>
      <c r="I23" s="330">
        <f>IF('Tillegg- Inndata Øvrige'!AD21="Ja", -1*$F23, 0)</f>
        <v>0</v>
      </c>
      <c r="J23" s="330">
        <f>'Tillegg- Inndata Øvrige'!O21*'Tillegg- Inndata Øvrige'!P21</f>
        <v>0</v>
      </c>
      <c r="K23" s="330">
        <f>MAX(-0.75*(SUM('Tillegg- Res. Det. Øvrige'!F23:J23)),-'Tillegg- Inndata Øvrige'!O21*'Tillegg- Inndata Øvrige'!Q21)</f>
        <v>0</v>
      </c>
      <c r="L23" s="330">
        <f>'Tillegg- Inndata Øvrige'!S21*'Tillegg- Inndata Øvrige'!T21</f>
        <v>0</v>
      </c>
      <c r="M23" s="330">
        <f>MAX(-0.75*(SUM('Tillegg- Res. Det. Øvrige'!F23:I23,L23)),-'Tillegg- Inndata Øvrige'!S21*'Tillegg- Inndata Øvrige'!U21)</f>
        <v>0</v>
      </c>
      <c r="N23" s="331">
        <f>'Tillegg- Inndata Øvrige'!F21</f>
        <v>0</v>
      </c>
      <c r="O23" s="330">
        <f>'Tillegg- Inndata Øvrige'!O21*'Tillegg- Inndata Øvrige'!R21</f>
        <v>0</v>
      </c>
      <c r="P23" s="332">
        <f>'Tillegg- Inndata Øvrige'!S21*'Tillegg- Inndata Øvrige'!V21</f>
        <v>0</v>
      </c>
      <c r="Q23" s="333">
        <f>SUM(F23:J23,L23)*'Tillegg- Inndata Øvrige'!K21</f>
        <v>0</v>
      </c>
      <c r="R23" s="333">
        <f>(K23+M23)*'Tillegg- Inndata Øvrige'!K21</f>
        <v>0</v>
      </c>
      <c r="S23" s="333">
        <f>SUM(N23:P23)*'Tillegg- Inndata Øvrige'!K21</f>
        <v>0</v>
      </c>
      <c r="T23" s="334">
        <f>('Tillegg- Inndata Øvrige'!G21+'Tillegg- Inndata Øvrige'!O21+'Tillegg- Inndata Øvrige'!S21)*'Tillegg- Inndata Øvrige'!K21*Transport_utslipp_til_avfallshånderting_per_kg</f>
        <v>0</v>
      </c>
      <c r="U23" s="330">
        <f>IF('Tillegg- Inndata Øvrige'!E21 = 0, 0, 1.833*'Tillegg- Inndata Øvrige'!X21*'Tillegg- Inndata Øvrige'!K21*('Tillegg- Inndata Øvrige'!G21*('Tillegg- Inndata Øvrige'!L21*0.5+'Tillegg- Inndata Øvrige'!M21*0.8) + (12/44)*('Tillegg- Inndata Øvrige'!O21*'Tillegg- Inndata Øvrige'!Q21+'Tillegg- Inndata Øvrige'!S21*'Tillegg- Inndata Øvrige'!U21)))</f>
        <v>0</v>
      </c>
      <c r="V23" s="335">
        <f>IF('Tillegg- Inndata Øvrige'!G21 = 0, 0,  MAX(-SUM(F23:J23,L23)*'Tillegg- Inndata Øvrige'!L21, -0.114*IF('Tillegg- Inndata Øvrige'!H21 &gt; 49, _xlfn.XLOOKUP(49, År_etter_ferdigstillelse, karbon_opptak_faktor), _xlfn.XLOOKUP('Tillegg- Inndata Øvrige'!H21, År_etter_ferdigstillelse, karbon_opptak_faktor))*'Tillegg- Inndata Øvrige'!G21*'Tillegg- Inndata Øvrige'!L21*0.5))</f>
        <v>0</v>
      </c>
      <c r="W23" s="333">
        <f>IF('Tillegg- Inndata Øvrige'!G21=0,0,IF('Tillegg- Inndata Øvrige'!H21&gt;49,-0.064*'Tillegg- Inndata Øvrige'!G21*'Tillegg- Inndata Øvrige'!N21,-0.037*'Tillegg- Inndata Øvrige'!J21*'Tillegg- Inndata Øvrige'!N21))</f>
        <v>0</v>
      </c>
      <c r="X23" s="331" cm="1">
        <f t="array" ref="X23">IF(SUM(F23:J23,L23)=0, 0, SUM(F23:J23,L23)*(1+'Tillegg-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Y23" s="330" cm="1">
        <f t="array" ref="Y23">IF(X23=0, 0, SUM(K23,M23)*(1+'Tillegg-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Z23" s="336" cm="1">
        <f t="array" ref="Z23">IF(X23=0, 0, SUM(N23:P23)*(1+'Tillegg-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A23" s="336" cm="1">
        <f t="array" ref="AA23">IF(X23=0, 0, ('Tillegg- Inndata Øvrige'!G21+'Tillegg- Inndata Øvrige'!O21+'Tillegg- Inndata Øvrige'!S21)*(1+'Tillegg- Inndata Øvrige'!K21)*Transport_utslipp_til_avfallshånderting_per_kg*IF('Tillegg-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B23" s="334" cm="1">
        <f t="array" ref="AB23">IF(X23=0, 0,1.833*'Tillegg- Inndata Øvrige'!J21*('Tillegg- Inndata Øvrige'!X21*_xlfn.XLOOKUP(IF('Tillegg- Inndata Øvrige'!I21&lt;2,'Tillegg- Inndata Øvrige'!H21,'Tillegg- Inndata Øvrige'!H21*2), År_etter_ferdigstillelse, Faktorer!$Z$7:$Z$58))*('Tillegg- Inndata Øvrige'!L21*0.5+'Tillegg- Inndata Øvrige'!M21*0.8)*_xlfn.XLOOKUP(IF('Tillegg- Inndata Øvrige'!I21&lt;2,'Tillegg- Inndata Øvrige'!H21,'Tillegg- Inndata Øvrige'!H21*2), År_etter_ferdigstillelse,  IF(LEFT('Tillegg- Inndata Øvrige'!B21, 2)= 49, f_tid_x_f_tek_d_0_037, f_tid_x_f_tek_d_0_01)))</f>
        <v>0</v>
      </c>
      <c r="AC23" s="335">
        <f>IF(('Tillegg- Inndata Øvrige'!G21) = 0, 0,('Tillegg- Inndata Øvrige'!G21*((AG23+AI23)*Transport_utslipp_til_avfallshånderting_per_kg)+('Tillegg- Inndata Øvrige'!Z21*'ZERO-B Beregning'!D123)*IF('ZERO-B Beregning'!F124=0,'ZERO-B Beregning'!D124,'ZERO-B Beregning'!F124))*_xlfn.XLOOKUP(51, År_etter_ferdigstillelse, f_tid_x_f_tek_d_0_01))</f>
        <v>0</v>
      </c>
      <c r="AD23" s="337">
        <f>IF(('Tillegg- Inndata Øvrige'!G21) = 0, 0,1.833*('Tillegg- Inndata Øvrige'!G21*('Tillegg- Inndata Øvrige'!L21*0.5+'Tillegg- Inndata Øvrige'!M21*0.8)*AG23*_xlfn.XLOOKUP(51, År_etter_ferdigstillelse,  f_tid_x_f_tek_d_0_01)))</f>
        <v>0</v>
      </c>
      <c r="AE23" s="333" cm="1">
        <f t="array" ref="AE23">IF(('Tillegg- Inndata Øvrige'!G21) = 0, 0,-0.8*('Tillegg- Inndata Øvrige'!G21)*AH23*('Tillegg- Inndata Øvrige'!E21/'Tillegg- Inndata Øvrige'!G21)*_xlfn.XLOOKUP(51, År_etter_ferdigstillelse,  IF(LEFT('Tillegg- Inndata Øvrige'!B21, 2)= 49, f_tid_x_f_tek_d_0_037, f_tid_x_f_tek_d_0_01)))</f>
        <v>0</v>
      </c>
      <c r="AF23" s="338" cm="1">
        <f t="array" ref="AF23">IF(('Tillegg- Inndata Øvrige'!G21) = 0, 0,-0.1*('Tillegg- Inndata Øvrige'!G21)*AI23*('Tillegg- Inndata Øvrige'!E21/'Tillegg- Inndata Øvrige'!G21)*_xlfn.XLOOKUP(51, År_etter_ferdigstillelse,  IF(LEFT('Tillegg- Inndata Øvrige'!B21, 2)= 49, f_tid_x_f_tek_d_0_037, f_tid_x_f_tek_d_0_01)))</f>
        <v>0</v>
      </c>
      <c r="AG23" s="572">
        <f>IF(('Tillegg- Inndata Øvrige'!G21) = 0, 0,'Tillegg- Inndata Øvrige'!X21*Faktorer!$Z$58)</f>
        <v>0</v>
      </c>
      <c r="AH23" s="573">
        <f>IF(('Tillegg- Inndata Øvrige'!G21) = 0, 0,'Tillegg- Inndata Øvrige'!Z21+('Tillegg- Inndata Øvrige'!X21+'Tillegg- Inndata Øvrige'!Y21)*(1-Faktorer!$Z$58)*0.5)</f>
        <v>0</v>
      </c>
      <c r="AI23" s="574">
        <f>IF(('Tillegg- Inndata Øvrige'!G21) = 0, 0,'Tillegg- Inndata Øvrige'!AA21+('Tillegg- Inndata Øvrige'!X21+'Tillegg- Inndata Øvrige'!Y21)*(1-Faktorer!$Z$58)*0.5)</f>
        <v>0</v>
      </c>
      <c r="AK23" s="90">
        <f t="shared" si="1"/>
        <v>0</v>
      </c>
      <c r="AL23" s="91">
        <f>'Tillegg- Res. Det. Øvrige'!N23</f>
        <v>0</v>
      </c>
      <c r="AM23" s="91" t="str">
        <f>IF(F23=0,"",('Tillegg- Inndata Øvrige'!E23+'Tillegg- Inndata Øvrige'!F23)*ROUNDDOWN('Tillegg- Inndata Øvrige'!I23,0)*(1+'Tillegg- Inndata Øvrige'!K23))</f>
        <v/>
      </c>
      <c r="AO23" s="1"/>
    </row>
    <row r="24" spans="2:67">
      <c r="B24" s="327">
        <f>'Tillegg- Inndata Øvrige'!B22</f>
        <v>0</v>
      </c>
      <c r="C24" s="327">
        <f>'Tillegg- Inndata Øvrige'!C22</f>
        <v>0</v>
      </c>
      <c r="D24" s="327">
        <f>'Tillegg- Inndata Øvrige'!D22</f>
        <v>0</v>
      </c>
      <c r="E24" s="421" cm="1">
        <f t="array" ref="E24">SUM(IFERROR(F24:AF24,0))</f>
        <v>0</v>
      </c>
      <c r="F24" s="330">
        <f>'Tillegg- Inndata Øvrige'!E22</f>
        <v>0</v>
      </c>
      <c r="G24" s="330">
        <f>IF('Tillegg- Inndata Øvrige'!AB22="Ja", -0.8*$F24, 0)</f>
        <v>0</v>
      </c>
      <c r="H24" s="330">
        <f>IF('Tillegg- Inndata Øvrige'!AC22="Ja", -0.4*$F24, 0)</f>
        <v>0</v>
      </c>
      <c r="I24" s="330">
        <f>IF('Tillegg- Inndata Øvrige'!AD22="Ja", -1*$F24, 0)</f>
        <v>0</v>
      </c>
      <c r="J24" s="330">
        <f>'Tillegg- Inndata Øvrige'!O22*'Tillegg- Inndata Øvrige'!P22</f>
        <v>0</v>
      </c>
      <c r="K24" s="330">
        <f>MAX(-0.75*(SUM('Tillegg- Res. Det. Øvrige'!F24:J24)),-'Tillegg- Inndata Øvrige'!O22*'Tillegg- Inndata Øvrige'!Q22)</f>
        <v>0</v>
      </c>
      <c r="L24" s="330">
        <f>'Tillegg- Inndata Øvrige'!S22*'Tillegg- Inndata Øvrige'!T22</f>
        <v>0</v>
      </c>
      <c r="M24" s="330">
        <f>MAX(-0.75*(SUM('Tillegg- Res. Det. Øvrige'!F24:I24,L24)),-'Tillegg- Inndata Øvrige'!S22*'Tillegg- Inndata Øvrige'!U22)</f>
        <v>0</v>
      </c>
      <c r="N24" s="331">
        <f>'Tillegg- Inndata Øvrige'!F22</f>
        <v>0</v>
      </c>
      <c r="O24" s="330">
        <f>'Tillegg- Inndata Øvrige'!O22*'Tillegg- Inndata Øvrige'!R22</f>
        <v>0</v>
      </c>
      <c r="P24" s="332">
        <f>'Tillegg- Inndata Øvrige'!S22*'Tillegg- Inndata Øvrige'!V22</f>
        <v>0</v>
      </c>
      <c r="Q24" s="333">
        <f>SUM(F24:J24,L24)*'Tillegg- Inndata Øvrige'!K22</f>
        <v>0</v>
      </c>
      <c r="R24" s="333">
        <f>(K24+M24)*'Tillegg- Inndata Øvrige'!K22</f>
        <v>0</v>
      </c>
      <c r="S24" s="333">
        <f>SUM(N24:P24)*'Tillegg- Inndata Øvrige'!K22</f>
        <v>0</v>
      </c>
      <c r="T24" s="334">
        <f>('Tillegg- Inndata Øvrige'!G22+'Tillegg- Inndata Øvrige'!O22+'Tillegg- Inndata Øvrige'!S22)*'Tillegg- Inndata Øvrige'!K22*Transport_utslipp_til_avfallshånderting_per_kg</f>
        <v>0</v>
      </c>
      <c r="U24" s="330">
        <f>IF('Tillegg- Inndata Øvrige'!E22 = 0, 0, 1.833*'Tillegg- Inndata Øvrige'!X22*'Tillegg- Inndata Øvrige'!K22*('Tillegg- Inndata Øvrige'!G22*('Tillegg- Inndata Øvrige'!L22*0.5+'Tillegg- Inndata Øvrige'!M22*0.8) + (12/44)*('Tillegg- Inndata Øvrige'!O22*'Tillegg- Inndata Øvrige'!Q22+'Tillegg- Inndata Øvrige'!S22*'Tillegg- Inndata Øvrige'!U22)))</f>
        <v>0</v>
      </c>
      <c r="V24" s="335">
        <f>IF('Tillegg- Inndata Øvrige'!G22 = 0, 0,  MAX(-SUM(F24:J24,L24)*'Tillegg- Inndata Øvrige'!L22, -0.114*IF('Tillegg- Inndata Øvrige'!H22 &gt; 49, _xlfn.XLOOKUP(49, År_etter_ferdigstillelse, karbon_opptak_faktor), _xlfn.XLOOKUP('Tillegg- Inndata Øvrige'!H22, År_etter_ferdigstillelse, karbon_opptak_faktor))*'Tillegg- Inndata Øvrige'!G22*'Tillegg- Inndata Øvrige'!L22*0.5))</f>
        <v>0</v>
      </c>
      <c r="W24" s="333">
        <f>IF('Tillegg- Inndata Øvrige'!G22=0,0,IF('Tillegg- Inndata Øvrige'!H22&gt;49,-0.064*'Tillegg- Inndata Øvrige'!G22*'Tillegg- Inndata Øvrige'!N22,-0.037*'Tillegg- Inndata Øvrige'!J22*'Tillegg- Inndata Øvrige'!N22))</f>
        <v>0</v>
      </c>
      <c r="X24" s="331" cm="1">
        <f t="array" ref="X24">IF(SUM(F24:J24,L24)=0, 0, SUM(F24:J24,L24)*(1+'Tillegg-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Y24" s="330" cm="1">
        <f t="array" ref="Y24">IF(X24=0, 0, SUM(K24,M24)*(1+'Tillegg-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Z24" s="336" cm="1">
        <f t="array" ref="Z24">IF(X24=0, 0, SUM(N24:P24)*(1+'Tillegg-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A24" s="336" cm="1">
        <f t="array" ref="AA24">IF(X24=0, 0, ('Tillegg- Inndata Øvrige'!G22+'Tillegg- Inndata Øvrige'!O22+'Tillegg- Inndata Øvrige'!S22)*(1+'Tillegg- Inndata Øvrige'!K22)*Transport_utslipp_til_avfallshånderting_per_kg*IF('Tillegg-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B24" s="334" cm="1">
        <f t="array" ref="AB24">IF(X24=0, 0,1.833*'Tillegg- Inndata Øvrige'!J22*('Tillegg- Inndata Øvrige'!X22*_xlfn.XLOOKUP(IF('Tillegg- Inndata Øvrige'!I22&lt;2,'Tillegg- Inndata Øvrige'!H22,'Tillegg- Inndata Øvrige'!H22*2), År_etter_ferdigstillelse, Faktorer!$Z$7:$Z$58))*('Tillegg- Inndata Øvrige'!L22*0.5+'Tillegg- Inndata Øvrige'!M22*0.8)*_xlfn.XLOOKUP(IF('Tillegg- Inndata Øvrige'!I22&lt;2,'Tillegg- Inndata Øvrige'!H22,'Tillegg- Inndata Øvrige'!H22*2), År_etter_ferdigstillelse,  IF(LEFT('Tillegg- Inndata Øvrige'!B22, 2)= 49, f_tid_x_f_tek_d_0_037, f_tid_x_f_tek_d_0_01)))</f>
        <v>0</v>
      </c>
      <c r="AC24" s="335">
        <f>IF(('Tillegg- Inndata Øvrige'!G22) = 0, 0,('Tillegg- Inndata Øvrige'!G22*((AG24+AI24)*Transport_utslipp_til_avfallshånderting_per_kg)+('Tillegg- Inndata Øvrige'!Z22*'ZERO-B Beregning'!D124)*IF('ZERO-B Beregning'!F125=0,'ZERO-B Beregning'!D125,'ZERO-B Beregning'!F125))*_xlfn.XLOOKUP(51, År_etter_ferdigstillelse, f_tid_x_f_tek_d_0_01))</f>
        <v>0</v>
      </c>
      <c r="AD24" s="337">
        <f>IF(('Tillegg- Inndata Øvrige'!G22) = 0, 0,1.833*('Tillegg- Inndata Øvrige'!G22*('Tillegg- Inndata Øvrige'!L22*0.5+'Tillegg- Inndata Øvrige'!M22*0.8)*AG24*_xlfn.XLOOKUP(51, År_etter_ferdigstillelse,  f_tid_x_f_tek_d_0_01)))</f>
        <v>0</v>
      </c>
      <c r="AE24" s="333" cm="1">
        <f t="array" ref="AE24">IF(('Tillegg- Inndata Øvrige'!G22) = 0, 0,-0.8*('Tillegg- Inndata Øvrige'!G22)*AH24*('Tillegg- Inndata Øvrige'!E22/'Tillegg- Inndata Øvrige'!G22)*_xlfn.XLOOKUP(51, År_etter_ferdigstillelse,  IF(LEFT('Tillegg- Inndata Øvrige'!B22, 2)= 49, f_tid_x_f_tek_d_0_037, f_tid_x_f_tek_d_0_01)))</f>
        <v>0</v>
      </c>
      <c r="AF24" s="338" cm="1">
        <f t="array" ref="AF24">IF(('Tillegg- Inndata Øvrige'!G22) = 0, 0,-0.1*('Tillegg- Inndata Øvrige'!G22)*AI24*('Tillegg- Inndata Øvrige'!E22/'Tillegg- Inndata Øvrige'!G22)*_xlfn.XLOOKUP(51, År_etter_ferdigstillelse,  IF(LEFT('Tillegg- Inndata Øvrige'!B22, 2)= 49, f_tid_x_f_tek_d_0_037, f_tid_x_f_tek_d_0_01)))</f>
        <v>0</v>
      </c>
      <c r="AG24" s="572">
        <f>IF(('Tillegg- Inndata Øvrige'!G22) = 0, 0,'Tillegg- Inndata Øvrige'!X22*Faktorer!$Z$58)</f>
        <v>0</v>
      </c>
      <c r="AH24" s="573">
        <f>IF(('Tillegg- Inndata Øvrige'!G22) = 0, 0,'Tillegg- Inndata Øvrige'!Z22+('Tillegg- Inndata Øvrige'!X22+'Tillegg- Inndata Øvrige'!Y22)*(1-Faktorer!$Z$58)*0.5)</f>
        <v>0</v>
      </c>
      <c r="AI24" s="574">
        <f>IF(('Tillegg- Inndata Øvrige'!G22) = 0, 0,'Tillegg- Inndata Øvrige'!AA22+('Tillegg- Inndata Øvrige'!X22+'Tillegg- Inndata Øvrige'!Y22)*(1-Faktorer!$Z$58)*0.5)</f>
        <v>0</v>
      </c>
      <c r="AK24" s="90">
        <f t="shared" si="1"/>
        <v>0</v>
      </c>
      <c r="AL24" s="91">
        <f>'Tillegg- Res. Det. Øvrige'!N24</f>
        <v>0</v>
      </c>
      <c r="AM24" s="91" t="str">
        <f>IF(F24=0,"",('Tillegg- Inndata Øvrige'!E24+'Tillegg- Inndata Øvrige'!F24)*ROUNDDOWN('Tillegg- Inndata Øvrige'!I24,0)*(1+'Tillegg- Inndata Øvrige'!K24))</f>
        <v/>
      </c>
      <c r="AO24" s="1"/>
    </row>
    <row r="25" spans="2:67">
      <c r="B25" s="327">
        <f>'Tillegg- Inndata Øvrige'!B23</f>
        <v>0</v>
      </c>
      <c r="C25" s="327">
        <f>'Tillegg- Inndata Øvrige'!C23</f>
        <v>0</v>
      </c>
      <c r="D25" s="327">
        <f>'Tillegg- Inndata Øvrige'!D23</f>
        <v>0</v>
      </c>
      <c r="E25" s="421" cm="1">
        <f t="array" ref="E25">SUM(IFERROR(F25:AF25,0))</f>
        <v>0</v>
      </c>
      <c r="F25" s="330">
        <f>'Tillegg- Inndata Øvrige'!E23</f>
        <v>0</v>
      </c>
      <c r="G25" s="330">
        <f>IF('Tillegg- Inndata Øvrige'!AB23="Ja", -0.8*$F25, 0)</f>
        <v>0</v>
      </c>
      <c r="H25" s="330">
        <f>IF('Tillegg- Inndata Øvrige'!AC23="Ja", -0.4*$F25, 0)</f>
        <v>0</v>
      </c>
      <c r="I25" s="330">
        <f>IF('Tillegg- Inndata Øvrige'!AD23="Ja", -1*$F25, 0)</f>
        <v>0</v>
      </c>
      <c r="J25" s="330">
        <f>'Tillegg- Inndata Øvrige'!O23*'Tillegg- Inndata Øvrige'!P23</f>
        <v>0</v>
      </c>
      <c r="K25" s="330">
        <f>MAX(-0.75*(SUM('Tillegg- Res. Det. Øvrige'!F25:J25)),-'Tillegg- Inndata Øvrige'!O23*'Tillegg- Inndata Øvrige'!Q23)</f>
        <v>0</v>
      </c>
      <c r="L25" s="330">
        <f>'Tillegg- Inndata Øvrige'!S23*'Tillegg- Inndata Øvrige'!T23</f>
        <v>0</v>
      </c>
      <c r="M25" s="330">
        <f>MAX(-0.75*(SUM('Tillegg- Res. Det. Øvrige'!F25:I25,L25)),-'Tillegg- Inndata Øvrige'!S23*'Tillegg- Inndata Øvrige'!U23)</f>
        <v>0</v>
      </c>
      <c r="N25" s="331">
        <f>'Tillegg- Inndata Øvrige'!F23</f>
        <v>0</v>
      </c>
      <c r="O25" s="330">
        <f>'Tillegg- Inndata Øvrige'!O23*'Tillegg- Inndata Øvrige'!R23</f>
        <v>0</v>
      </c>
      <c r="P25" s="332">
        <f>'Tillegg- Inndata Øvrige'!S23*'Tillegg- Inndata Øvrige'!V23</f>
        <v>0</v>
      </c>
      <c r="Q25" s="333">
        <f>SUM(F25:J25,L25)*'Tillegg- Inndata Øvrige'!K23</f>
        <v>0</v>
      </c>
      <c r="R25" s="333">
        <f>(K25+M25)*'Tillegg- Inndata Øvrige'!K23</f>
        <v>0</v>
      </c>
      <c r="S25" s="333">
        <f>SUM(N25:P25)*'Tillegg- Inndata Øvrige'!K23</f>
        <v>0</v>
      </c>
      <c r="T25" s="334">
        <f>('Tillegg- Inndata Øvrige'!G23+'Tillegg- Inndata Øvrige'!O23+'Tillegg- Inndata Øvrige'!S23)*'Tillegg- Inndata Øvrige'!K23*Transport_utslipp_til_avfallshånderting_per_kg</f>
        <v>0</v>
      </c>
      <c r="U25" s="330">
        <f>IF('Tillegg- Inndata Øvrige'!E23 = 0, 0, 1.833*'Tillegg- Inndata Øvrige'!X23*'Tillegg- Inndata Øvrige'!K23*('Tillegg- Inndata Øvrige'!G23*('Tillegg- Inndata Øvrige'!L23*0.5+'Tillegg- Inndata Øvrige'!M23*0.8) + (12/44)*('Tillegg- Inndata Øvrige'!O23*'Tillegg- Inndata Øvrige'!Q23+'Tillegg- Inndata Øvrige'!S23*'Tillegg- Inndata Øvrige'!U23)))</f>
        <v>0</v>
      </c>
      <c r="V25" s="335">
        <f>IF('Tillegg- Inndata Øvrige'!G23 = 0, 0,  MAX(-SUM(F25:J25,L25)*'Tillegg- Inndata Øvrige'!L23, -0.114*IF('Tillegg- Inndata Øvrige'!H23 &gt; 49, _xlfn.XLOOKUP(49, År_etter_ferdigstillelse, karbon_opptak_faktor), _xlfn.XLOOKUP('Tillegg- Inndata Øvrige'!H23, År_etter_ferdigstillelse, karbon_opptak_faktor))*'Tillegg- Inndata Øvrige'!G23*'Tillegg- Inndata Øvrige'!L23*0.5))</f>
        <v>0</v>
      </c>
      <c r="W25" s="333">
        <f>IF('Tillegg- Inndata Øvrige'!G23=0,0,IF('Tillegg- Inndata Øvrige'!H23&gt;49,-0.064*'Tillegg- Inndata Øvrige'!G23*'Tillegg- Inndata Øvrige'!N23,-0.037*'Tillegg- Inndata Øvrige'!J23*'Tillegg- Inndata Øvrige'!N23))</f>
        <v>0</v>
      </c>
      <c r="X25" s="331" cm="1">
        <f t="array" ref="X25">IF(SUM(F25:J25,L25)=0, 0, SUM(F25:J25,L25)*(1+'Tillegg-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Y25" s="330" cm="1">
        <f t="array" ref="Y25">IF(X25=0, 0, SUM(K25,M25)*(1+'Tillegg-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Z25" s="336" cm="1">
        <f t="array" ref="Z25">IF(X25=0, 0, SUM(N25:P25)*(1+'Tillegg-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A25" s="336" cm="1">
        <f t="array" ref="AA25">IF(X25=0, 0, ('Tillegg- Inndata Øvrige'!G23+'Tillegg- Inndata Øvrige'!O23+'Tillegg- Inndata Øvrige'!S23)*(1+'Tillegg- Inndata Øvrige'!K23)*Transport_utslipp_til_avfallshånderting_per_kg*IF('Tillegg-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B25" s="334" cm="1">
        <f t="array" ref="AB25">IF(X25=0, 0,1.833*'Tillegg- Inndata Øvrige'!J23*('Tillegg- Inndata Øvrige'!X23*_xlfn.XLOOKUP(IF('Tillegg- Inndata Øvrige'!I23&lt;2,'Tillegg- Inndata Øvrige'!H23,'Tillegg- Inndata Øvrige'!H23*2), År_etter_ferdigstillelse, Faktorer!$Z$7:$Z$58))*('Tillegg- Inndata Øvrige'!L23*0.5+'Tillegg- Inndata Øvrige'!M23*0.8)*_xlfn.XLOOKUP(IF('Tillegg- Inndata Øvrige'!I23&lt;2,'Tillegg- Inndata Øvrige'!H23,'Tillegg- Inndata Øvrige'!H23*2), År_etter_ferdigstillelse,  IF(LEFT('Tillegg- Inndata Øvrige'!B23, 2)= 49, f_tid_x_f_tek_d_0_037, f_tid_x_f_tek_d_0_01)))</f>
        <v>0</v>
      </c>
      <c r="AC25" s="335">
        <f>IF(('Tillegg- Inndata Øvrige'!G23) = 0, 0,('Tillegg- Inndata Øvrige'!G23*((AG25+AI25)*Transport_utslipp_til_avfallshånderting_per_kg)+('Tillegg- Inndata Øvrige'!Z23*'ZERO-B Beregning'!D125)*IF('ZERO-B Beregning'!F126=0,'ZERO-B Beregning'!D126,'ZERO-B Beregning'!F126))*_xlfn.XLOOKUP(51, År_etter_ferdigstillelse, f_tid_x_f_tek_d_0_01))</f>
        <v>0</v>
      </c>
      <c r="AD25" s="337">
        <f>IF(('Tillegg- Inndata Øvrige'!G23) = 0, 0,1.833*('Tillegg- Inndata Øvrige'!G23*('Tillegg- Inndata Øvrige'!L23*0.5+'Tillegg- Inndata Øvrige'!M23*0.8)*AG25*_xlfn.XLOOKUP(51, År_etter_ferdigstillelse,  f_tid_x_f_tek_d_0_01)))</f>
        <v>0</v>
      </c>
      <c r="AE25" s="333" cm="1">
        <f t="array" ref="AE25">IF(('Tillegg- Inndata Øvrige'!G23) = 0, 0,-0.8*('Tillegg- Inndata Øvrige'!G23)*AH25*('Tillegg- Inndata Øvrige'!E23/'Tillegg- Inndata Øvrige'!G23)*_xlfn.XLOOKUP(51, År_etter_ferdigstillelse,  IF(LEFT('Tillegg- Inndata Øvrige'!B23, 2)= 49, f_tid_x_f_tek_d_0_037, f_tid_x_f_tek_d_0_01)))</f>
        <v>0</v>
      </c>
      <c r="AF25" s="338" cm="1">
        <f t="array" ref="AF25">IF(('Tillegg- Inndata Øvrige'!G23) = 0, 0,-0.1*('Tillegg- Inndata Øvrige'!G23)*AI25*('Tillegg- Inndata Øvrige'!E23/'Tillegg- Inndata Øvrige'!G23)*_xlfn.XLOOKUP(51, År_etter_ferdigstillelse,  IF(LEFT('Tillegg- Inndata Øvrige'!B23, 2)= 49, f_tid_x_f_tek_d_0_037, f_tid_x_f_tek_d_0_01)))</f>
        <v>0</v>
      </c>
      <c r="AG25" s="572">
        <f>IF(('Tillegg- Inndata Øvrige'!G23) = 0, 0,'Tillegg- Inndata Øvrige'!X23*Faktorer!$Z$58)</f>
        <v>0</v>
      </c>
      <c r="AH25" s="573">
        <f>IF(('Tillegg- Inndata Øvrige'!G23) = 0, 0,'Tillegg- Inndata Øvrige'!Z23+('Tillegg- Inndata Øvrige'!X23+'Tillegg- Inndata Øvrige'!Y23)*(1-Faktorer!$Z$58)*0.5)</f>
        <v>0</v>
      </c>
      <c r="AI25" s="574">
        <f>IF(('Tillegg- Inndata Øvrige'!G23) = 0, 0,'Tillegg- Inndata Øvrige'!AA23+('Tillegg- Inndata Øvrige'!X23+'Tillegg- Inndata Øvrige'!Y23)*(1-Faktorer!$Z$58)*0.5)</f>
        <v>0</v>
      </c>
      <c r="AK25" s="90">
        <f t="shared" si="1"/>
        <v>0</v>
      </c>
      <c r="AL25" s="91">
        <f>'Tillegg- Res. Det. Øvrige'!N25</f>
        <v>0</v>
      </c>
      <c r="AM25" s="91" t="str">
        <f>IF(F25=0,"",('Tillegg- Inndata Øvrige'!E25+'Tillegg- Inndata Øvrige'!F25)*ROUNDDOWN('Tillegg- Inndata Øvrige'!I25,0)*(1+'Tillegg- Inndata Øvrige'!K25))</f>
        <v/>
      </c>
      <c r="AO25" s="1"/>
    </row>
    <row r="26" spans="2:67">
      <c r="B26" s="327">
        <f>'Tillegg- Inndata Øvrige'!B24</f>
        <v>0</v>
      </c>
      <c r="C26" s="327">
        <f>'Tillegg- Inndata Øvrige'!C24</f>
        <v>0</v>
      </c>
      <c r="D26" s="327">
        <f>'Tillegg- Inndata Øvrige'!D24</f>
        <v>0</v>
      </c>
      <c r="E26" s="421" cm="1">
        <f t="array" ref="E26">SUM(IFERROR(F26:AF26,0))</f>
        <v>0</v>
      </c>
      <c r="F26" s="330">
        <f>'Tillegg- Inndata Øvrige'!E24</f>
        <v>0</v>
      </c>
      <c r="G26" s="330">
        <f>IF('Tillegg- Inndata Øvrige'!AB24="Ja", -0.8*$F26, 0)</f>
        <v>0</v>
      </c>
      <c r="H26" s="330">
        <f>IF('Tillegg- Inndata Øvrige'!AC24="Ja", -0.4*$F26, 0)</f>
        <v>0</v>
      </c>
      <c r="I26" s="330">
        <f>IF('Tillegg- Inndata Øvrige'!AD24="Ja", -1*$F26, 0)</f>
        <v>0</v>
      </c>
      <c r="J26" s="330">
        <f>'Tillegg- Inndata Øvrige'!O24*'Tillegg- Inndata Øvrige'!P24</f>
        <v>0</v>
      </c>
      <c r="K26" s="330">
        <f>MAX(-0.75*(SUM('Tillegg- Res. Det. Øvrige'!F26:J26)),-'Tillegg- Inndata Øvrige'!O24*'Tillegg- Inndata Øvrige'!Q24)</f>
        <v>0</v>
      </c>
      <c r="L26" s="330">
        <f>'Tillegg- Inndata Øvrige'!S24*'Tillegg- Inndata Øvrige'!T24</f>
        <v>0</v>
      </c>
      <c r="M26" s="330">
        <f>MAX(-0.75*(SUM('Tillegg- Res. Det. Øvrige'!F26:I26,L26)),-'Tillegg- Inndata Øvrige'!S24*'Tillegg- Inndata Øvrige'!U24)</f>
        <v>0</v>
      </c>
      <c r="N26" s="331">
        <f>'Tillegg- Inndata Øvrige'!F24</f>
        <v>0</v>
      </c>
      <c r="O26" s="330">
        <f>'Tillegg- Inndata Øvrige'!O24*'Tillegg- Inndata Øvrige'!R24</f>
        <v>0</v>
      </c>
      <c r="P26" s="332">
        <f>'Tillegg- Inndata Øvrige'!S24*'Tillegg- Inndata Øvrige'!V24</f>
        <v>0</v>
      </c>
      <c r="Q26" s="333">
        <f>SUM(F26:J26,L26)*'Tillegg- Inndata Øvrige'!K24</f>
        <v>0</v>
      </c>
      <c r="R26" s="333">
        <f>(K26+M26)*'Tillegg- Inndata Øvrige'!K24</f>
        <v>0</v>
      </c>
      <c r="S26" s="333">
        <f>SUM(N26:P26)*'Tillegg- Inndata Øvrige'!K24</f>
        <v>0</v>
      </c>
      <c r="T26" s="334">
        <f>('Tillegg- Inndata Øvrige'!G24+'Tillegg- Inndata Øvrige'!O24+'Tillegg- Inndata Øvrige'!S24)*'Tillegg- Inndata Øvrige'!K24*Transport_utslipp_til_avfallshånderting_per_kg</f>
        <v>0</v>
      </c>
      <c r="U26" s="330">
        <f>IF('Tillegg- Inndata Øvrige'!E24 = 0, 0, 1.833*'Tillegg- Inndata Øvrige'!X24*'Tillegg- Inndata Øvrige'!K24*('Tillegg- Inndata Øvrige'!G24*('Tillegg- Inndata Øvrige'!L24*0.5+'Tillegg- Inndata Øvrige'!M24*0.8) + (12/44)*('Tillegg- Inndata Øvrige'!O24*'Tillegg- Inndata Øvrige'!Q24+'Tillegg- Inndata Øvrige'!S24*'Tillegg- Inndata Øvrige'!U24)))</f>
        <v>0</v>
      </c>
      <c r="V26" s="335">
        <f>IF('Tillegg- Inndata Øvrige'!G24 = 0, 0,  MAX(-SUM(F26:J26,L26)*'Tillegg- Inndata Øvrige'!L24, -0.114*IF('Tillegg- Inndata Øvrige'!H24 &gt; 49, _xlfn.XLOOKUP(49, År_etter_ferdigstillelse, karbon_opptak_faktor), _xlfn.XLOOKUP('Tillegg- Inndata Øvrige'!H24, År_etter_ferdigstillelse, karbon_opptak_faktor))*'Tillegg- Inndata Øvrige'!G24*'Tillegg- Inndata Øvrige'!L24*0.5))</f>
        <v>0</v>
      </c>
      <c r="W26" s="333">
        <f>IF('Tillegg- Inndata Øvrige'!G24=0,0,IF('Tillegg- Inndata Øvrige'!H24&gt;49,-0.064*'Tillegg- Inndata Øvrige'!G24*'Tillegg- Inndata Øvrige'!N24,-0.037*'Tillegg- Inndata Øvrige'!J24*'Tillegg- Inndata Øvrige'!N24))</f>
        <v>0</v>
      </c>
      <c r="X26" s="331" cm="1">
        <f t="array" ref="X26">IF(SUM(F26:J26,L26)=0, 0, SUM(F26:J26,L26)*(1+'Tillegg-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Y26" s="330" cm="1">
        <f t="array" ref="Y26">IF(X26=0, 0, SUM(K26,M26)*(1+'Tillegg-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Z26" s="336" cm="1">
        <f t="array" ref="Z26">IF(X26=0, 0, SUM(N26:P26)*(1+'Tillegg-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A26" s="336" cm="1">
        <f t="array" ref="AA26">IF(X26=0, 0, ('Tillegg- Inndata Øvrige'!G24+'Tillegg- Inndata Øvrige'!O24+'Tillegg- Inndata Øvrige'!S24)*(1+'Tillegg- Inndata Øvrige'!K24)*Transport_utslipp_til_avfallshånderting_per_kg*IF('Tillegg-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B26" s="334" cm="1">
        <f t="array" ref="AB26">IF(X26=0, 0,1.833*'Tillegg- Inndata Øvrige'!J24*('Tillegg- Inndata Øvrige'!X24*_xlfn.XLOOKUP(IF('Tillegg- Inndata Øvrige'!I24&lt;2,'Tillegg- Inndata Øvrige'!H24,'Tillegg- Inndata Øvrige'!H24*2), År_etter_ferdigstillelse, Faktorer!$Z$7:$Z$58))*('Tillegg- Inndata Øvrige'!L24*0.5+'Tillegg- Inndata Øvrige'!M24*0.8)*_xlfn.XLOOKUP(IF('Tillegg- Inndata Øvrige'!I24&lt;2,'Tillegg- Inndata Øvrige'!H24,'Tillegg- Inndata Øvrige'!H24*2), År_etter_ferdigstillelse,  IF(LEFT('Tillegg- Inndata Øvrige'!B24, 2)= 49, f_tid_x_f_tek_d_0_037, f_tid_x_f_tek_d_0_01)))</f>
        <v>0</v>
      </c>
      <c r="AC26" s="335">
        <f>IF(('Tillegg- Inndata Øvrige'!G24) = 0, 0,('Tillegg- Inndata Øvrige'!G24*((AG26+AI26)*Transport_utslipp_til_avfallshånderting_per_kg)+('Tillegg- Inndata Øvrige'!Z24*'ZERO-B Beregning'!D126)*IF('ZERO-B Beregning'!F127=0,'ZERO-B Beregning'!D127,'ZERO-B Beregning'!F127))*_xlfn.XLOOKUP(51, År_etter_ferdigstillelse, f_tid_x_f_tek_d_0_01))</f>
        <v>0</v>
      </c>
      <c r="AD26" s="337">
        <f>IF(('Tillegg- Inndata Øvrige'!G24) = 0, 0,1.833*('Tillegg- Inndata Øvrige'!G24*('Tillegg- Inndata Øvrige'!L24*0.5+'Tillegg- Inndata Øvrige'!M24*0.8)*AG26*_xlfn.XLOOKUP(51, År_etter_ferdigstillelse,  f_tid_x_f_tek_d_0_01)))</f>
        <v>0</v>
      </c>
      <c r="AE26" s="333" cm="1">
        <f t="array" ref="AE26">IF(('Tillegg- Inndata Øvrige'!G24) = 0, 0,-0.8*('Tillegg- Inndata Øvrige'!G24)*AH26*('Tillegg- Inndata Øvrige'!E24/'Tillegg- Inndata Øvrige'!G24)*_xlfn.XLOOKUP(51, År_etter_ferdigstillelse,  IF(LEFT('Tillegg- Inndata Øvrige'!B24, 2)= 49, f_tid_x_f_tek_d_0_037, f_tid_x_f_tek_d_0_01)))</f>
        <v>0</v>
      </c>
      <c r="AF26" s="338" cm="1">
        <f t="array" ref="AF26">IF(('Tillegg- Inndata Øvrige'!G24) = 0, 0,-0.1*('Tillegg- Inndata Øvrige'!G24)*AI26*('Tillegg- Inndata Øvrige'!E24/'Tillegg- Inndata Øvrige'!G24)*_xlfn.XLOOKUP(51, År_etter_ferdigstillelse,  IF(LEFT('Tillegg- Inndata Øvrige'!B24, 2)= 49, f_tid_x_f_tek_d_0_037, f_tid_x_f_tek_d_0_01)))</f>
        <v>0</v>
      </c>
      <c r="AG26" s="572">
        <f>IF(('Tillegg- Inndata Øvrige'!G24) = 0, 0,'Tillegg- Inndata Øvrige'!X24*Faktorer!$Z$58)</f>
        <v>0</v>
      </c>
      <c r="AH26" s="573">
        <f>IF(('Tillegg- Inndata Øvrige'!G24) = 0, 0,'Tillegg- Inndata Øvrige'!Z24+('Tillegg- Inndata Øvrige'!X24+'Tillegg- Inndata Øvrige'!Y24)*(1-Faktorer!$Z$58)*0.5)</f>
        <v>0</v>
      </c>
      <c r="AI26" s="574">
        <f>IF(('Tillegg- Inndata Øvrige'!G24) = 0, 0,'Tillegg- Inndata Øvrige'!AA24+('Tillegg- Inndata Øvrige'!X24+'Tillegg- Inndata Øvrige'!Y24)*(1-Faktorer!$Z$58)*0.5)</f>
        <v>0</v>
      </c>
      <c r="AK26" s="90">
        <f t="shared" si="1"/>
        <v>0</v>
      </c>
      <c r="AL26" s="91">
        <f>'Tillegg- Res. Det. Øvrige'!N26</f>
        <v>0</v>
      </c>
      <c r="AM26" s="91" t="str">
        <f>IF(F26=0,"",('Tillegg- Inndata Øvrige'!E26+'Tillegg- Inndata Øvrige'!F26)*ROUNDDOWN('Tillegg- Inndata Øvrige'!I26,0)*(1+'Tillegg- Inndata Øvrige'!K26))</f>
        <v/>
      </c>
      <c r="AO26" s="1"/>
    </row>
    <row r="27" spans="2:67">
      <c r="B27" s="327">
        <f>'Tillegg- Inndata Øvrige'!B25</f>
        <v>0</v>
      </c>
      <c r="C27" s="327">
        <f>'Tillegg- Inndata Øvrige'!C25</f>
        <v>0</v>
      </c>
      <c r="D27" s="327">
        <f>'Tillegg- Inndata Øvrige'!D25</f>
        <v>0</v>
      </c>
      <c r="E27" s="421" cm="1">
        <f t="array" ref="E27">SUM(IFERROR(F27:AF27,0))</f>
        <v>0</v>
      </c>
      <c r="F27" s="330">
        <f>'Tillegg- Inndata Øvrige'!E25</f>
        <v>0</v>
      </c>
      <c r="G27" s="330">
        <f>IF('Tillegg- Inndata Øvrige'!AB25="Ja", -0.8*$F27, 0)</f>
        <v>0</v>
      </c>
      <c r="H27" s="330">
        <f>IF('Tillegg- Inndata Øvrige'!AC25="Ja", -0.4*$F27, 0)</f>
        <v>0</v>
      </c>
      <c r="I27" s="330">
        <f>IF('Tillegg- Inndata Øvrige'!AD25="Ja", -1*$F27, 0)</f>
        <v>0</v>
      </c>
      <c r="J27" s="330">
        <f>'Tillegg- Inndata Øvrige'!O25*'Tillegg- Inndata Øvrige'!P25</f>
        <v>0</v>
      </c>
      <c r="K27" s="330">
        <f>MAX(-0.75*(SUM('Tillegg- Res. Det. Øvrige'!F27:J27)),-'Tillegg- Inndata Øvrige'!O25*'Tillegg- Inndata Øvrige'!Q25)</f>
        <v>0</v>
      </c>
      <c r="L27" s="330">
        <f>'Tillegg- Inndata Øvrige'!S25*'Tillegg- Inndata Øvrige'!T25</f>
        <v>0</v>
      </c>
      <c r="M27" s="330">
        <f>MAX(-0.75*(SUM('Tillegg- Res. Det. Øvrige'!F27:I27,L27)),-'Tillegg- Inndata Øvrige'!S25*'Tillegg- Inndata Øvrige'!U25)</f>
        <v>0</v>
      </c>
      <c r="N27" s="331">
        <f>'Tillegg- Inndata Øvrige'!F25</f>
        <v>0</v>
      </c>
      <c r="O27" s="330">
        <f>'Tillegg- Inndata Øvrige'!O25*'Tillegg- Inndata Øvrige'!R25</f>
        <v>0</v>
      </c>
      <c r="P27" s="332">
        <f>'Tillegg- Inndata Øvrige'!S25*'Tillegg- Inndata Øvrige'!V25</f>
        <v>0</v>
      </c>
      <c r="Q27" s="333">
        <f>SUM(F27:J27,L27)*'Tillegg- Inndata Øvrige'!K25</f>
        <v>0</v>
      </c>
      <c r="R27" s="333">
        <f>(K27+M27)*'Tillegg- Inndata Øvrige'!K25</f>
        <v>0</v>
      </c>
      <c r="S27" s="333">
        <f>SUM(N27:P27)*'Tillegg- Inndata Øvrige'!K25</f>
        <v>0</v>
      </c>
      <c r="T27" s="334">
        <f>('Tillegg- Inndata Øvrige'!G25+'Tillegg- Inndata Øvrige'!O25+'Tillegg- Inndata Øvrige'!S25)*'Tillegg- Inndata Øvrige'!K25*Transport_utslipp_til_avfallshånderting_per_kg</f>
        <v>0</v>
      </c>
      <c r="U27" s="330">
        <f>IF('Tillegg- Inndata Øvrige'!E25 = 0, 0, 1.833*'Tillegg- Inndata Øvrige'!X25*'Tillegg- Inndata Øvrige'!K25*('Tillegg- Inndata Øvrige'!G25*('Tillegg- Inndata Øvrige'!L25*0.5+'Tillegg- Inndata Øvrige'!M25*0.8) + (12/44)*('Tillegg- Inndata Øvrige'!O25*'Tillegg- Inndata Øvrige'!Q25+'Tillegg- Inndata Øvrige'!S25*'Tillegg- Inndata Øvrige'!U25)))</f>
        <v>0</v>
      </c>
      <c r="V27" s="335">
        <f>IF('Tillegg- Inndata Øvrige'!G25 = 0, 0,  MAX(-SUM(F27:J27,L27)*'Tillegg- Inndata Øvrige'!L25, -0.114*IF('Tillegg- Inndata Øvrige'!H25 &gt; 49, _xlfn.XLOOKUP(49, År_etter_ferdigstillelse, karbon_opptak_faktor), _xlfn.XLOOKUP('Tillegg- Inndata Øvrige'!H25, År_etter_ferdigstillelse, karbon_opptak_faktor))*'Tillegg- Inndata Øvrige'!G25*'Tillegg- Inndata Øvrige'!L25*0.5))</f>
        <v>0</v>
      </c>
      <c r="W27" s="333">
        <f>IF('Tillegg- Inndata Øvrige'!G25=0,0,IF('Tillegg- Inndata Øvrige'!H25&gt;49,-0.064*'Tillegg- Inndata Øvrige'!G25*'Tillegg- Inndata Øvrige'!N25,-0.037*'Tillegg- Inndata Øvrige'!J25*'Tillegg- Inndata Øvrige'!N25))</f>
        <v>0</v>
      </c>
      <c r="X27" s="331" cm="1">
        <f t="array" ref="X27">IF(SUM(F27:J27,L27)=0, 0, SUM(F27:J27,L27)*(1+'Tillegg-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Y27" s="330" cm="1">
        <f t="array" ref="Y27">IF(X27=0, 0, SUM(K27,M27)*(1+'Tillegg-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Z27" s="336" cm="1">
        <f t="array" ref="Z27">IF(X27=0, 0, SUM(N27:P27)*(1+'Tillegg-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A27" s="336" cm="1">
        <f t="array" ref="AA27">IF(X27=0, 0, ('Tillegg- Inndata Øvrige'!G25+'Tillegg- Inndata Øvrige'!O25+'Tillegg- Inndata Øvrige'!S25)*(1+'Tillegg- Inndata Øvrige'!K25)*Transport_utslipp_til_avfallshånderting_per_kg*IF('Tillegg-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B27" s="334" cm="1">
        <f t="array" ref="AB27">IF(X27=0, 0,1.833*'Tillegg- Inndata Øvrige'!J25*('Tillegg- Inndata Øvrige'!X25*_xlfn.XLOOKUP(IF('Tillegg- Inndata Øvrige'!I25&lt;2,'Tillegg- Inndata Øvrige'!H25,'Tillegg- Inndata Øvrige'!H25*2), År_etter_ferdigstillelse, Faktorer!$Z$7:$Z$58))*('Tillegg- Inndata Øvrige'!L25*0.5+'Tillegg- Inndata Øvrige'!M25*0.8)*_xlfn.XLOOKUP(IF('Tillegg- Inndata Øvrige'!I25&lt;2,'Tillegg- Inndata Øvrige'!H25,'Tillegg- Inndata Øvrige'!H25*2), År_etter_ferdigstillelse,  IF(LEFT('Tillegg- Inndata Øvrige'!B25, 2)= 49, f_tid_x_f_tek_d_0_037, f_tid_x_f_tek_d_0_01)))</f>
        <v>0</v>
      </c>
      <c r="AC27" s="335">
        <f>IF(('Tillegg- Inndata Øvrige'!G25) = 0, 0,('Tillegg- Inndata Øvrige'!G25*((AG27+AI27)*Transport_utslipp_til_avfallshånderting_per_kg)+('Tillegg- Inndata Øvrige'!Z25*'ZERO-B Beregning'!D127)*IF('ZERO-B Beregning'!F128=0,'ZERO-B Beregning'!D128,'ZERO-B Beregning'!F128))*_xlfn.XLOOKUP(51, År_etter_ferdigstillelse, f_tid_x_f_tek_d_0_01))</f>
        <v>0</v>
      </c>
      <c r="AD27" s="337">
        <f>IF(('Tillegg- Inndata Øvrige'!G25) = 0, 0,1.833*('Tillegg- Inndata Øvrige'!G25*('Tillegg- Inndata Øvrige'!L25*0.5+'Tillegg- Inndata Øvrige'!M25*0.8)*AG27*_xlfn.XLOOKUP(51, År_etter_ferdigstillelse,  f_tid_x_f_tek_d_0_01)))</f>
        <v>0</v>
      </c>
      <c r="AE27" s="333" cm="1">
        <f t="array" ref="AE27">IF(('Tillegg- Inndata Øvrige'!G25) = 0, 0,-0.8*('Tillegg- Inndata Øvrige'!G25)*AH27*('Tillegg- Inndata Øvrige'!E25/'Tillegg- Inndata Øvrige'!G25)*_xlfn.XLOOKUP(51, År_etter_ferdigstillelse,  IF(LEFT('Tillegg- Inndata Øvrige'!B25, 2)= 49, f_tid_x_f_tek_d_0_037, f_tid_x_f_tek_d_0_01)))</f>
        <v>0</v>
      </c>
      <c r="AF27" s="338" cm="1">
        <f t="array" ref="AF27">IF(('Tillegg- Inndata Øvrige'!G25) = 0, 0,-0.1*('Tillegg- Inndata Øvrige'!G25)*AI27*('Tillegg- Inndata Øvrige'!E25/'Tillegg- Inndata Øvrige'!G25)*_xlfn.XLOOKUP(51, År_etter_ferdigstillelse,  IF(LEFT('Tillegg- Inndata Øvrige'!B25, 2)= 49, f_tid_x_f_tek_d_0_037, f_tid_x_f_tek_d_0_01)))</f>
        <v>0</v>
      </c>
      <c r="AG27" s="572">
        <f>IF(('Tillegg- Inndata Øvrige'!G25) = 0, 0,'Tillegg- Inndata Øvrige'!X25*Faktorer!$Z$58)</f>
        <v>0</v>
      </c>
      <c r="AH27" s="573">
        <f>IF(('Tillegg- Inndata Øvrige'!G25) = 0, 0,'Tillegg- Inndata Øvrige'!Z25+('Tillegg- Inndata Øvrige'!X25+'Tillegg- Inndata Øvrige'!Y25)*(1-Faktorer!$Z$58)*0.5)</f>
        <v>0</v>
      </c>
      <c r="AI27" s="574">
        <f>IF(('Tillegg- Inndata Øvrige'!G25) = 0, 0,'Tillegg- Inndata Øvrige'!AA25+('Tillegg- Inndata Øvrige'!X25+'Tillegg- Inndata Øvrige'!Y25)*(1-Faktorer!$Z$58)*0.5)</f>
        <v>0</v>
      </c>
      <c r="AK27" s="90">
        <f t="shared" si="1"/>
        <v>0</v>
      </c>
      <c r="AL27" s="91">
        <f>'Tillegg- Res. Det. Øvrige'!N27</f>
        <v>0</v>
      </c>
      <c r="AM27" s="91" t="str">
        <f>IF(F27=0,"",('Tillegg- Inndata Øvrige'!E27+'Tillegg- Inndata Øvrige'!F27)*ROUNDDOWN('Tillegg- Inndata Øvrige'!I27,0)*(1+'Tillegg- Inndata Øvrige'!K27))</f>
        <v/>
      </c>
      <c r="AO27" s="1"/>
    </row>
    <row r="28" spans="2:67">
      <c r="B28" s="327">
        <f>'Tillegg- Inndata Øvrige'!B26</f>
        <v>0</v>
      </c>
      <c r="C28" s="327">
        <f>'Tillegg- Inndata Øvrige'!C26</f>
        <v>0</v>
      </c>
      <c r="D28" s="327">
        <f>'Tillegg- Inndata Øvrige'!D26</f>
        <v>0</v>
      </c>
      <c r="E28" s="421" cm="1">
        <f t="array" ref="E28">SUM(IFERROR(F28:AF28,0))</f>
        <v>0</v>
      </c>
      <c r="F28" s="330">
        <f>'Tillegg- Inndata Øvrige'!E26</f>
        <v>0</v>
      </c>
      <c r="G28" s="330">
        <f>IF('Tillegg- Inndata Øvrige'!AB26="Ja", -0.8*$F28, 0)</f>
        <v>0</v>
      </c>
      <c r="H28" s="330">
        <f>IF('Tillegg- Inndata Øvrige'!AC26="Ja", -0.4*$F28, 0)</f>
        <v>0</v>
      </c>
      <c r="I28" s="330">
        <f>IF('Tillegg- Inndata Øvrige'!AD26="Ja", -1*$F28, 0)</f>
        <v>0</v>
      </c>
      <c r="J28" s="330">
        <f>'Tillegg- Inndata Øvrige'!O26*'Tillegg- Inndata Øvrige'!P26</f>
        <v>0</v>
      </c>
      <c r="K28" s="330">
        <f>MAX(-0.75*(SUM('Tillegg- Res. Det. Øvrige'!F28:J28)),-'Tillegg- Inndata Øvrige'!O26*'Tillegg- Inndata Øvrige'!Q26)</f>
        <v>0</v>
      </c>
      <c r="L28" s="330">
        <f>'Tillegg- Inndata Øvrige'!S26*'Tillegg- Inndata Øvrige'!T26</f>
        <v>0</v>
      </c>
      <c r="M28" s="330">
        <f>MAX(-0.75*(SUM('Tillegg- Res. Det. Øvrige'!F28:I28,L28)),-'Tillegg- Inndata Øvrige'!S26*'Tillegg- Inndata Øvrige'!U26)</f>
        <v>0</v>
      </c>
      <c r="N28" s="331">
        <f>'Tillegg- Inndata Øvrige'!F26</f>
        <v>0</v>
      </c>
      <c r="O28" s="330">
        <f>'Tillegg- Inndata Øvrige'!O26*'Tillegg- Inndata Øvrige'!R26</f>
        <v>0</v>
      </c>
      <c r="P28" s="332">
        <f>'Tillegg- Inndata Øvrige'!S26*'Tillegg- Inndata Øvrige'!V26</f>
        <v>0</v>
      </c>
      <c r="Q28" s="333">
        <f>SUM(F28:J28,L28)*'Tillegg- Inndata Øvrige'!K26</f>
        <v>0</v>
      </c>
      <c r="R28" s="333">
        <f>(K28+M28)*'Tillegg- Inndata Øvrige'!K26</f>
        <v>0</v>
      </c>
      <c r="S28" s="333">
        <f>SUM(N28:P28)*'Tillegg- Inndata Øvrige'!K26</f>
        <v>0</v>
      </c>
      <c r="T28" s="334">
        <f>('Tillegg- Inndata Øvrige'!G26+'Tillegg- Inndata Øvrige'!O26+'Tillegg- Inndata Øvrige'!S26)*'Tillegg- Inndata Øvrige'!K26*Transport_utslipp_til_avfallshånderting_per_kg</f>
        <v>0</v>
      </c>
      <c r="U28" s="330">
        <f>IF('Tillegg- Inndata Øvrige'!E26 = 0, 0, 1.833*'Tillegg- Inndata Øvrige'!X26*'Tillegg- Inndata Øvrige'!K26*('Tillegg- Inndata Øvrige'!G26*('Tillegg- Inndata Øvrige'!L26*0.5+'Tillegg- Inndata Øvrige'!M26*0.8) + (12/44)*('Tillegg- Inndata Øvrige'!O26*'Tillegg- Inndata Øvrige'!Q26+'Tillegg- Inndata Øvrige'!S26*'Tillegg- Inndata Øvrige'!U26)))</f>
        <v>0</v>
      </c>
      <c r="V28" s="335">
        <f>IF('Tillegg- Inndata Øvrige'!G26 = 0, 0,  MAX(-SUM(F28:J28,L28)*'Tillegg- Inndata Øvrige'!L26, -0.114*IF('Tillegg- Inndata Øvrige'!H26 &gt; 49, _xlfn.XLOOKUP(49, År_etter_ferdigstillelse, karbon_opptak_faktor), _xlfn.XLOOKUP('Tillegg- Inndata Øvrige'!H26, År_etter_ferdigstillelse, karbon_opptak_faktor))*'Tillegg- Inndata Øvrige'!G26*'Tillegg- Inndata Øvrige'!L26*0.5))</f>
        <v>0</v>
      </c>
      <c r="W28" s="333">
        <f>IF('Tillegg- Inndata Øvrige'!G26=0,0,IF('Tillegg- Inndata Øvrige'!H26&gt;49,-0.064*'Tillegg- Inndata Øvrige'!G26*'Tillegg- Inndata Øvrige'!N26,-0.037*'Tillegg- Inndata Øvrige'!J26*'Tillegg- Inndata Øvrige'!N26))</f>
        <v>0</v>
      </c>
      <c r="X28" s="331" cm="1">
        <f t="array" ref="X28">IF(SUM(F28:J28,L28)=0, 0, SUM(F28:J28,L28)*(1+'Tillegg-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Y28" s="330" cm="1">
        <f t="array" ref="Y28">IF(X28=0, 0, SUM(K28,M28)*(1+'Tillegg-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Z28" s="336" cm="1">
        <f t="array" ref="Z28">IF(X28=0, 0, SUM(N28:P28)*(1+'Tillegg-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A28" s="336" cm="1">
        <f t="array" ref="AA28">IF(X28=0, 0, ('Tillegg- Inndata Øvrige'!G26+'Tillegg- Inndata Øvrige'!O26+'Tillegg- Inndata Øvrige'!S26)*(1+'Tillegg- Inndata Øvrige'!K26)*Transport_utslipp_til_avfallshånderting_per_kg*IF('Tillegg-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B28" s="334" cm="1">
        <f t="array" ref="AB28">IF(X28=0, 0,1.833*'Tillegg- Inndata Øvrige'!J26*('Tillegg- Inndata Øvrige'!X26*_xlfn.XLOOKUP(IF('Tillegg- Inndata Øvrige'!I26&lt;2,'Tillegg- Inndata Øvrige'!H26,'Tillegg- Inndata Øvrige'!H26*2), År_etter_ferdigstillelse, Faktorer!$Z$7:$Z$58))*('Tillegg- Inndata Øvrige'!L26*0.5+'Tillegg- Inndata Øvrige'!M26*0.8)*_xlfn.XLOOKUP(IF('Tillegg- Inndata Øvrige'!I26&lt;2,'Tillegg- Inndata Øvrige'!H26,'Tillegg- Inndata Øvrige'!H26*2), År_etter_ferdigstillelse,  IF(LEFT('Tillegg- Inndata Øvrige'!B26, 2)= 49, f_tid_x_f_tek_d_0_037, f_tid_x_f_tek_d_0_01)))</f>
        <v>0</v>
      </c>
      <c r="AC28" s="335">
        <f>IF(('Tillegg- Inndata Øvrige'!G26) = 0, 0,('Tillegg- Inndata Øvrige'!G26*((AG28+AI28)*Transport_utslipp_til_avfallshånderting_per_kg)+('Tillegg- Inndata Øvrige'!Z26*'ZERO-B Beregning'!D128)*IF('ZERO-B Beregning'!F129=0,'ZERO-B Beregning'!D129,'ZERO-B Beregning'!F129))*_xlfn.XLOOKUP(51, År_etter_ferdigstillelse, f_tid_x_f_tek_d_0_01))</f>
        <v>0</v>
      </c>
      <c r="AD28" s="337">
        <f>IF(('Tillegg- Inndata Øvrige'!G26) = 0, 0,1.833*('Tillegg- Inndata Øvrige'!G26*('Tillegg- Inndata Øvrige'!L26*0.5+'Tillegg- Inndata Øvrige'!M26*0.8)*AG28*_xlfn.XLOOKUP(51, År_etter_ferdigstillelse,  f_tid_x_f_tek_d_0_01)))</f>
        <v>0</v>
      </c>
      <c r="AE28" s="333" cm="1">
        <f t="array" ref="AE28">IF(('Tillegg- Inndata Øvrige'!G26) = 0, 0,-0.8*('Tillegg- Inndata Øvrige'!G26)*AH28*('Tillegg- Inndata Øvrige'!E26/'Tillegg- Inndata Øvrige'!G26)*_xlfn.XLOOKUP(51, År_etter_ferdigstillelse,  IF(LEFT('Tillegg- Inndata Øvrige'!B26, 2)= 49, f_tid_x_f_tek_d_0_037, f_tid_x_f_tek_d_0_01)))</f>
        <v>0</v>
      </c>
      <c r="AF28" s="338" cm="1">
        <f t="array" ref="AF28">IF(('Tillegg- Inndata Øvrige'!G26) = 0, 0,-0.1*('Tillegg- Inndata Øvrige'!G26)*AI28*('Tillegg- Inndata Øvrige'!E26/'Tillegg- Inndata Øvrige'!G26)*_xlfn.XLOOKUP(51, År_etter_ferdigstillelse,  IF(LEFT('Tillegg- Inndata Øvrige'!B26, 2)= 49, f_tid_x_f_tek_d_0_037, f_tid_x_f_tek_d_0_01)))</f>
        <v>0</v>
      </c>
      <c r="AG28" s="572">
        <f>IF(('Tillegg- Inndata Øvrige'!G26) = 0, 0,'Tillegg- Inndata Øvrige'!X26*Faktorer!$Z$58)</f>
        <v>0</v>
      </c>
      <c r="AH28" s="573">
        <f>IF(('Tillegg- Inndata Øvrige'!G26) = 0, 0,'Tillegg- Inndata Øvrige'!Z26+('Tillegg- Inndata Øvrige'!X26+'Tillegg- Inndata Øvrige'!Y26)*(1-Faktorer!$Z$58)*0.5)</f>
        <v>0</v>
      </c>
      <c r="AI28" s="574">
        <f>IF(('Tillegg- Inndata Øvrige'!G26) = 0, 0,'Tillegg- Inndata Øvrige'!AA26+('Tillegg- Inndata Øvrige'!X26+'Tillegg- Inndata Øvrige'!Y26)*(1-Faktorer!$Z$58)*0.5)</f>
        <v>0</v>
      </c>
      <c r="AK28" s="90">
        <f t="shared" si="1"/>
        <v>0</v>
      </c>
      <c r="AL28" s="91">
        <f>'Tillegg- Res. Det. Øvrige'!N28</f>
        <v>0</v>
      </c>
      <c r="AM28" s="91" t="str">
        <f>IF(F28=0,"",('Tillegg- Inndata Øvrige'!E28+'Tillegg- Inndata Øvrige'!F28)*ROUNDDOWN('Tillegg- Inndata Øvrige'!I28,0)*(1+'Tillegg- Inndata Øvrige'!K28))</f>
        <v/>
      </c>
      <c r="AO28" s="1"/>
    </row>
    <row r="29" spans="2:67">
      <c r="B29" s="327">
        <f>'Tillegg- Inndata Øvrige'!B27</f>
        <v>0</v>
      </c>
      <c r="C29" s="327">
        <f>'Tillegg- Inndata Øvrige'!C27</f>
        <v>0</v>
      </c>
      <c r="D29" s="327">
        <f>'Tillegg- Inndata Øvrige'!D27</f>
        <v>0</v>
      </c>
      <c r="E29" s="421" cm="1">
        <f t="array" ref="E29">SUM(IFERROR(F29:AF29,0))</f>
        <v>0</v>
      </c>
      <c r="F29" s="330">
        <f>'Tillegg- Inndata Øvrige'!E27</f>
        <v>0</v>
      </c>
      <c r="G29" s="330">
        <f>IF('Tillegg- Inndata Øvrige'!AB27="Ja", -0.8*$F29, 0)</f>
        <v>0</v>
      </c>
      <c r="H29" s="330">
        <f>IF('Tillegg- Inndata Øvrige'!AC27="Ja", -0.4*$F29, 0)</f>
        <v>0</v>
      </c>
      <c r="I29" s="330">
        <f>IF('Tillegg- Inndata Øvrige'!AD27="Ja", -1*$F29, 0)</f>
        <v>0</v>
      </c>
      <c r="J29" s="330">
        <f>'Tillegg- Inndata Øvrige'!O27*'Tillegg- Inndata Øvrige'!P27</f>
        <v>0</v>
      </c>
      <c r="K29" s="330">
        <f>MAX(-0.75*(SUM('Tillegg- Res. Det. Øvrige'!F29:J29)),-'Tillegg- Inndata Øvrige'!O27*'Tillegg- Inndata Øvrige'!Q27)</f>
        <v>0</v>
      </c>
      <c r="L29" s="330">
        <f>'Tillegg- Inndata Øvrige'!S27*'Tillegg- Inndata Øvrige'!T27</f>
        <v>0</v>
      </c>
      <c r="M29" s="330">
        <f>MAX(-0.75*(SUM('Tillegg- Res. Det. Øvrige'!F29:I29,L29)),-'Tillegg- Inndata Øvrige'!S27*'Tillegg- Inndata Øvrige'!U27)</f>
        <v>0</v>
      </c>
      <c r="N29" s="331">
        <f>'Tillegg- Inndata Øvrige'!F27</f>
        <v>0</v>
      </c>
      <c r="O29" s="330">
        <f>'Tillegg- Inndata Øvrige'!O27*'Tillegg- Inndata Øvrige'!R27</f>
        <v>0</v>
      </c>
      <c r="P29" s="332">
        <f>'Tillegg- Inndata Øvrige'!S27*'Tillegg- Inndata Øvrige'!V27</f>
        <v>0</v>
      </c>
      <c r="Q29" s="333">
        <f>SUM(F29:J29,L29)*'Tillegg- Inndata Øvrige'!K27</f>
        <v>0</v>
      </c>
      <c r="R29" s="333">
        <f>(K29+M29)*'Tillegg- Inndata Øvrige'!K27</f>
        <v>0</v>
      </c>
      <c r="S29" s="333">
        <f>SUM(N29:P29)*'Tillegg- Inndata Øvrige'!K27</f>
        <v>0</v>
      </c>
      <c r="T29" s="334">
        <f>('Tillegg- Inndata Øvrige'!G27+'Tillegg- Inndata Øvrige'!O27+'Tillegg- Inndata Øvrige'!S27)*'Tillegg- Inndata Øvrige'!K27*Transport_utslipp_til_avfallshånderting_per_kg</f>
        <v>0</v>
      </c>
      <c r="U29" s="330">
        <f>IF('Tillegg- Inndata Øvrige'!E27 = 0, 0, 1.833*'Tillegg- Inndata Øvrige'!X27*'Tillegg- Inndata Øvrige'!K27*('Tillegg- Inndata Øvrige'!G27*('Tillegg- Inndata Øvrige'!L27*0.5+'Tillegg- Inndata Øvrige'!M27*0.8) + (12/44)*('Tillegg- Inndata Øvrige'!O27*'Tillegg- Inndata Øvrige'!Q27+'Tillegg- Inndata Øvrige'!S27*'Tillegg- Inndata Øvrige'!U27)))</f>
        <v>0</v>
      </c>
      <c r="V29" s="335">
        <f>IF('Tillegg- Inndata Øvrige'!G27 = 0, 0,  MAX(-SUM(F29:J29,L29)*'Tillegg- Inndata Øvrige'!L27, -0.114*IF('Tillegg- Inndata Øvrige'!H27 &gt; 49, _xlfn.XLOOKUP(49, År_etter_ferdigstillelse, karbon_opptak_faktor), _xlfn.XLOOKUP('Tillegg- Inndata Øvrige'!H27, År_etter_ferdigstillelse, karbon_opptak_faktor))*'Tillegg- Inndata Øvrige'!G27*'Tillegg- Inndata Øvrige'!L27*0.5))</f>
        <v>0</v>
      </c>
      <c r="W29" s="333">
        <f>IF('Tillegg- Inndata Øvrige'!G27=0,0,IF('Tillegg- Inndata Øvrige'!H27&gt;49,-0.064*'Tillegg- Inndata Øvrige'!G27*'Tillegg- Inndata Øvrige'!N27,-0.037*'Tillegg- Inndata Øvrige'!J27*'Tillegg- Inndata Øvrige'!N27))</f>
        <v>0</v>
      </c>
      <c r="X29" s="331" cm="1">
        <f t="array" ref="X29">IF(SUM(F29:J29,L29)=0, 0, SUM(F29:J29,L29)*(1+'Tillegg-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Y29" s="330" cm="1">
        <f t="array" ref="Y29">IF(X29=0, 0, SUM(K29,M29)*(1+'Tillegg-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Z29" s="336" cm="1">
        <f t="array" ref="Z29">IF(X29=0, 0, SUM(N29:P29)*(1+'Tillegg-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A29" s="336" cm="1">
        <f t="array" ref="AA29">IF(X29=0, 0, ('Tillegg- Inndata Øvrige'!G27+'Tillegg- Inndata Øvrige'!O27+'Tillegg- Inndata Øvrige'!S27)*(1+'Tillegg- Inndata Øvrige'!K27)*Transport_utslipp_til_avfallshånderting_per_kg*IF('Tillegg-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B29" s="334" cm="1">
        <f t="array" ref="AB29">IF(X29=0, 0,1.833*'Tillegg- Inndata Øvrige'!J27*('Tillegg- Inndata Øvrige'!X27*_xlfn.XLOOKUP(IF('Tillegg- Inndata Øvrige'!I27&lt;2,'Tillegg- Inndata Øvrige'!H27,'Tillegg- Inndata Øvrige'!H27*2), År_etter_ferdigstillelse, Faktorer!$Z$7:$Z$58))*('Tillegg- Inndata Øvrige'!L27*0.5+'Tillegg- Inndata Øvrige'!M27*0.8)*_xlfn.XLOOKUP(IF('Tillegg- Inndata Øvrige'!I27&lt;2,'Tillegg- Inndata Øvrige'!H27,'Tillegg- Inndata Øvrige'!H27*2), År_etter_ferdigstillelse,  IF(LEFT('Tillegg- Inndata Øvrige'!B27, 2)= 49, f_tid_x_f_tek_d_0_037, f_tid_x_f_tek_d_0_01)))</f>
        <v>0</v>
      </c>
      <c r="AC29" s="335">
        <f>IF(('Tillegg- Inndata Øvrige'!G27) = 0, 0,('Tillegg- Inndata Øvrige'!G27*((AG29+AI29)*Transport_utslipp_til_avfallshånderting_per_kg)+('Tillegg- Inndata Øvrige'!Z27*'ZERO-B Beregning'!D129)*IF('ZERO-B Beregning'!F130=0,'ZERO-B Beregning'!D130,'ZERO-B Beregning'!F130))*_xlfn.XLOOKUP(51, År_etter_ferdigstillelse, f_tid_x_f_tek_d_0_01))</f>
        <v>0</v>
      </c>
      <c r="AD29" s="337">
        <f>IF(('Tillegg- Inndata Øvrige'!G27) = 0, 0,1.833*('Tillegg- Inndata Øvrige'!G27*('Tillegg- Inndata Øvrige'!L27*0.5+'Tillegg- Inndata Øvrige'!M27*0.8)*AG29*_xlfn.XLOOKUP(51, År_etter_ferdigstillelse,  f_tid_x_f_tek_d_0_01)))</f>
        <v>0</v>
      </c>
      <c r="AE29" s="333" cm="1">
        <f t="array" ref="AE29">IF(('Tillegg- Inndata Øvrige'!G27) = 0, 0,-0.8*('Tillegg- Inndata Øvrige'!G27)*AH29*('Tillegg- Inndata Øvrige'!E27/'Tillegg- Inndata Øvrige'!G27)*_xlfn.XLOOKUP(51, År_etter_ferdigstillelse,  IF(LEFT('Tillegg- Inndata Øvrige'!B27, 2)= 49, f_tid_x_f_tek_d_0_037, f_tid_x_f_tek_d_0_01)))</f>
        <v>0</v>
      </c>
      <c r="AF29" s="338" cm="1">
        <f t="array" ref="AF29">IF(('Tillegg- Inndata Øvrige'!G27) = 0, 0,-0.1*('Tillegg- Inndata Øvrige'!G27)*AI29*('Tillegg- Inndata Øvrige'!E27/'Tillegg- Inndata Øvrige'!G27)*_xlfn.XLOOKUP(51, År_etter_ferdigstillelse,  IF(LEFT('Tillegg- Inndata Øvrige'!B27, 2)= 49, f_tid_x_f_tek_d_0_037, f_tid_x_f_tek_d_0_01)))</f>
        <v>0</v>
      </c>
      <c r="AG29" s="572">
        <f>IF(('Tillegg- Inndata Øvrige'!G27) = 0, 0,'Tillegg- Inndata Øvrige'!X27*Faktorer!$Z$58)</f>
        <v>0</v>
      </c>
      <c r="AH29" s="573">
        <f>IF(('Tillegg- Inndata Øvrige'!G27) = 0, 0,'Tillegg- Inndata Øvrige'!Z27+('Tillegg- Inndata Øvrige'!X27+'Tillegg- Inndata Øvrige'!Y27)*(1-Faktorer!$Z$58)*0.5)</f>
        <v>0</v>
      </c>
      <c r="AI29" s="574">
        <f>IF(('Tillegg- Inndata Øvrige'!G27) = 0, 0,'Tillegg- Inndata Øvrige'!AA27+('Tillegg- Inndata Øvrige'!X27+'Tillegg- Inndata Øvrige'!Y27)*(1-Faktorer!$Z$58)*0.5)</f>
        <v>0</v>
      </c>
      <c r="AK29" s="90">
        <f t="shared" si="1"/>
        <v>0</v>
      </c>
      <c r="AL29" s="91">
        <f>'Tillegg- Res. Det. Øvrige'!N29</f>
        <v>0</v>
      </c>
      <c r="AM29" s="91" t="str">
        <f>IF(F29=0,"",('Tillegg- Inndata Øvrige'!E29+'Tillegg- Inndata Øvrige'!F29)*ROUNDDOWN('Tillegg- Inndata Øvrige'!I29,0)*(1+'Tillegg- Inndata Øvrige'!K29))</f>
        <v/>
      </c>
      <c r="AO29" s="1"/>
    </row>
    <row r="30" spans="2:67">
      <c r="B30" s="327">
        <f>'Tillegg- Inndata Øvrige'!B28</f>
        <v>0</v>
      </c>
      <c r="C30" s="327">
        <f>'Tillegg- Inndata Øvrige'!C28</f>
        <v>0</v>
      </c>
      <c r="D30" s="327">
        <f>'Tillegg- Inndata Øvrige'!D28</f>
        <v>0</v>
      </c>
      <c r="E30" s="421" cm="1">
        <f t="array" ref="E30">SUM(IFERROR(F30:AF30,0))</f>
        <v>0</v>
      </c>
      <c r="F30" s="330">
        <f>'Tillegg- Inndata Øvrige'!E28</f>
        <v>0</v>
      </c>
      <c r="G30" s="330">
        <f>IF('Tillegg- Inndata Øvrige'!AB28="Ja", -0.8*$F30, 0)</f>
        <v>0</v>
      </c>
      <c r="H30" s="330">
        <f>IF('Tillegg- Inndata Øvrige'!AC28="Ja", -0.4*$F30, 0)</f>
        <v>0</v>
      </c>
      <c r="I30" s="330">
        <f>IF('Tillegg- Inndata Øvrige'!AD28="Ja", -1*$F30, 0)</f>
        <v>0</v>
      </c>
      <c r="J30" s="330">
        <f>'Tillegg- Inndata Øvrige'!O28*'Tillegg- Inndata Øvrige'!P28</f>
        <v>0</v>
      </c>
      <c r="K30" s="330">
        <f>MAX(-0.75*(SUM('Tillegg- Res. Det. Øvrige'!F30:J30)),-'Tillegg- Inndata Øvrige'!O28*'Tillegg- Inndata Øvrige'!Q28)</f>
        <v>0</v>
      </c>
      <c r="L30" s="330">
        <f>'Tillegg- Inndata Øvrige'!S28*'Tillegg- Inndata Øvrige'!T28</f>
        <v>0</v>
      </c>
      <c r="M30" s="330">
        <f>MAX(-0.75*(SUM('Tillegg- Res. Det. Øvrige'!F30:I30,L30)),-'Tillegg- Inndata Øvrige'!S28*'Tillegg- Inndata Øvrige'!U28)</f>
        <v>0</v>
      </c>
      <c r="N30" s="331">
        <f>'Tillegg- Inndata Øvrige'!F28</f>
        <v>0</v>
      </c>
      <c r="O30" s="330">
        <f>'Tillegg- Inndata Øvrige'!O28*'Tillegg- Inndata Øvrige'!R28</f>
        <v>0</v>
      </c>
      <c r="P30" s="332">
        <f>'Tillegg- Inndata Øvrige'!S28*'Tillegg- Inndata Øvrige'!V28</f>
        <v>0</v>
      </c>
      <c r="Q30" s="333">
        <f>SUM(F30:J30,L30)*'Tillegg- Inndata Øvrige'!K28</f>
        <v>0</v>
      </c>
      <c r="R30" s="333">
        <f>(K30+M30)*'Tillegg- Inndata Øvrige'!K28</f>
        <v>0</v>
      </c>
      <c r="S30" s="333">
        <f>SUM(N30:P30)*'Tillegg- Inndata Øvrige'!K28</f>
        <v>0</v>
      </c>
      <c r="T30" s="334">
        <f>('Tillegg- Inndata Øvrige'!G28+'Tillegg- Inndata Øvrige'!O28+'Tillegg- Inndata Øvrige'!S28)*'Tillegg- Inndata Øvrige'!K28*Transport_utslipp_til_avfallshånderting_per_kg</f>
        <v>0</v>
      </c>
      <c r="U30" s="330">
        <f>IF('Tillegg- Inndata Øvrige'!E28 = 0, 0, 1.833*'Tillegg- Inndata Øvrige'!X28*'Tillegg- Inndata Øvrige'!K28*('Tillegg- Inndata Øvrige'!G28*('Tillegg- Inndata Øvrige'!L28*0.5+'Tillegg- Inndata Øvrige'!M28*0.8) + (12/44)*('Tillegg- Inndata Øvrige'!O28*'Tillegg- Inndata Øvrige'!Q28+'Tillegg- Inndata Øvrige'!S28*'Tillegg- Inndata Øvrige'!U28)))</f>
        <v>0</v>
      </c>
      <c r="V30" s="335">
        <f>IF('Tillegg- Inndata Øvrige'!G28 = 0, 0,  MAX(-SUM(F30:J30,L30)*'Tillegg- Inndata Øvrige'!L28, -0.114*IF('Tillegg- Inndata Øvrige'!H28 &gt; 49, _xlfn.XLOOKUP(49, År_etter_ferdigstillelse, karbon_opptak_faktor), _xlfn.XLOOKUP('Tillegg- Inndata Øvrige'!H28, År_etter_ferdigstillelse, karbon_opptak_faktor))*'Tillegg- Inndata Øvrige'!G28*'Tillegg- Inndata Øvrige'!L28*0.5))</f>
        <v>0</v>
      </c>
      <c r="W30" s="333">
        <f>IF('Tillegg- Inndata Øvrige'!G28=0,0,IF('Tillegg- Inndata Øvrige'!H28&gt;49,-0.064*'Tillegg- Inndata Øvrige'!G28*'Tillegg- Inndata Øvrige'!N28,-0.037*'Tillegg- Inndata Øvrige'!J28*'Tillegg- Inndata Øvrige'!N28))</f>
        <v>0</v>
      </c>
      <c r="X30" s="331" cm="1">
        <f t="array" ref="X30">IF(SUM(F30:J30,L30)=0, 0, SUM(F30:J30,L30)*(1+'Tillegg-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Y30" s="330" cm="1">
        <f t="array" ref="Y30">IF(X30=0, 0, SUM(K30,M30)*(1+'Tillegg-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Z30" s="336" cm="1">
        <f t="array" ref="Z30">IF(X30=0, 0, SUM(N30:P30)*(1+'Tillegg-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A30" s="336" cm="1">
        <f t="array" ref="AA30">IF(X30=0, 0, ('Tillegg- Inndata Øvrige'!G28+'Tillegg- Inndata Øvrige'!O28+'Tillegg- Inndata Øvrige'!S28)*(1+'Tillegg- Inndata Øvrige'!K28)*Transport_utslipp_til_avfallshånderting_per_kg*IF('Tillegg-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B30" s="334" cm="1">
        <f t="array" ref="AB30">IF(X30=0, 0,1.833*'Tillegg- Inndata Øvrige'!J28*('Tillegg- Inndata Øvrige'!X28*_xlfn.XLOOKUP(IF('Tillegg- Inndata Øvrige'!I28&lt;2,'Tillegg- Inndata Øvrige'!H28,'Tillegg- Inndata Øvrige'!H28*2), År_etter_ferdigstillelse, Faktorer!$Z$7:$Z$58))*('Tillegg- Inndata Øvrige'!L28*0.5+'Tillegg- Inndata Øvrige'!M28*0.8)*_xlfn.XLOOKUP(IF('Tillegg- Inndata Øvrige'!I28&lt;2,'Tillegg- Inndata Øvrige'!H28,'Tillegg- Inndata Øvrige'!H28*2), År_etter_ferdigstillelse,  IF(LEFT('Tillegg- Inndata Øvrige'!B28, 2)= 49, f_tid_x_f_tek_d_0_037, f_tid_x_f_tek_d_0_01)))</f>
        <v>0</v>
      </c>
      <c r="AC30" s="335">
        <f>IF(('Tillegg- Inndata Øvrige'!G28) = 0, 0,('Tillegg- Inndata Øvrige'!G28*((AG30+AI30)*Transport_utslipp_til_avfallshånderting_per_kg)+('Tillegg- Inndata Øvrige'!Z28*'ZERO-B Beregning'!D130)*IF('ZERO-B Beregning'!F131=0,'ZERO-B Beregning'!D131,'ZERO-B Beregning'!F131))*_xlfn.XLOOKUP(51, År_etter_ferdigstillelse, f_tid_x_f_tek_d_0_01))</f>
        <v>0</v>
      </c>
      <c r="AD30" s="337">
        <f>IF(('Tillegg- Inndata Øvrige'!G28) = 0, 0,1.833*('Tillegg- Inndata Øvrige'!G28*('Tillegg- Inndata Øvrige'!L28*0.5+'Tillegg- Inndata Øvrige'!M28*0.8)*AG30*_xlfn.XLOOKUP(51, År_etter_ferdigstillelse,  f_tid_x_f_tek_d_0_01)))</f>
        <v>0</v>
      </c>
      <c r="AE30" s="333" cm="1">
        <f t="array" ref="AE30">IF(('Tillegg- Inndata Øvrige'!G28) = 0, 0,-0.8*('Tillegg- Inndata Øvrige'!G28)*AH30*('Tillegg- Inndata Øvrige'!E28/'Tillegg- Inndata Øvrige'!G28)*_xlfn.XLOOKUP(51, År_etter_ferdigstillelse,  IF(LEFT('Tillegg- Inndata Øvrige'!B28, 2)= 49, f_tid_x_f_tek_d_0_037, f_tid_x_f_tek_d_0_01)))</f>
        <v>0</v>
      </c>
      <c r="AF30" s="338" cm="1">
        <f t="array" ref="AF30">IF(('Tillegg- Inndata Øvrige'!G28) = 0, 0,-0.1*('Tillegg- Inndata Øvrige'!G28)*AI30*('Tillegg- Inndata Øvrige'!E28/'Tillegg- Inndata Øvrige'!G28)*_xlfn.XLOOKUP(51, År_etter_ferdigstillelse,  IF(LEFT('Tillegg- Inndata Øvrige'!B28, 2)= 49, f_tid_x_f_tek_d_0_037, f_tid_x_f_tek_d_0_01)))</f>
        <v>0</v>
      </c>
      <c r="AG30" s="572">
        <f>IF(('Tillegg- Inndata Øvrige'!G28) = 0, 0,'Tillegg- Inndata Øvrige'!X28*Faktorer!$Z$58)</f>
        <v>0</v>
      </c>
      <c r="AH30" s="573">
        <f>IF(('Tillegg- Inndata Øvrige'!G28) = 0, 0,'Tillegg- Inndata Øvrige'!Z28+('Tillegg- Inndata Øvrige'!X28+'Tillegg- Inndata Øvrige'!Y28)*(1-Faktorer!$Z$58)*0.5)</f>
        <v>0</v>
      </c>
      <c r="AI30" s="574">
        <f>IF(('Tillegg- Inndata Øvrige'!G28) = 0, 0,'Tillegg- Inndata Øvrige'!AA28+('Tillegg- Inndata Øvrige'!X28+'Tillegg- Inndata Øvrige'!Y28)*(1-Faktorer!$Z$58)*0.5)</f>
        <v>0</v>
      </c>
      <c r="AK30" s="90">
        <f t="shared" si="1"/>
        <v>0</v>
      </c>
      <c r="AL30" s="91">
        <f>'Tillegg- Res. Det. Øvrige'!N30</f>
        <v>0</v>
      </c>
      <c r="AM30" s="91" t="str">
        <f>IF(F30=0,"",('Tillegg- Inndata Øvrige'!E30+'Tillegg- Inndata Øvrige'!F30)*ROUNDDOWN('Tillegg- Inndata Øvrige'!I30,0)*(1+'Tillegg- Inndata Øvrige'!K30))</f>
        <v/>
      </c>
      <c r="AO30" s="1"/>
    </row>
    <row r="31" spans="2:67">
      <c r="B31" s="327">
        <f>'Tillegg- Inndata Øvrige'!B29</f>
        <v>0</v>
      </c>
      <c r="C31" s="327">
        <f>'Tillegg- Inndata Øvrige'!C29</f>
        <v>0</v>
      </c>
      <c r="D31" s="327">
        <f>'Tillegg- Inndata Øvrige'!D29</f>
        <v>0</v>
      </c>
      <c r="E31" s="421" cm="1">
        <f t="array" ref="E31">SUM(IFERROR(F31:AF31,0))</f>
        <v>0</v>
      </c>
      <c r="F31" s="330">
        <f>'Tillegg- Inndata Øvrige'!E29</f>
        <v>0</v>
      </c>
      <c r="G31" s="330">
        <f>IF('Tillegg- Inndata Øvrige'!AB29="Ja", -0.8*$F31, 0)</f>
        <v>0</v>
      </c>
      <c r="H31" s="330">
        <f>IF('Tillegg- Inndata Øvrige'!AC29="Ja", -0.4*$F31, 0)</f>
        <v>0</v>
      </c>
      <c r="I31" s="330">
        <f>IF('Tillegg- Inndata Øvrige'!AD29="Ja", -1*$F31, 0)</f>
        <v>0</v>
      </c>
      <c r="J31" s="330">
        <f>'Tillegg- Inndata Øvrige'!O29*'Tillegg- Inndata Øvrige'!P29</f>
        <v>0</v>
      </c>
      <c r="K31" s="330">
        <f>MAX(-0.75*(SUM('Tillegg- Res. Det. Øvrige'!F31:J31)),-'Tillegg- Inndata Øvrige'!O29*'Tillegg- Inndata Øvrige'!Q29)</f>
        <v>0</v>
      </c>
      <c r="L31" s="330">
        <f>'Tillegg- Inndata Øvrige'!S29*'Tillegg- Inndata Øvrige'!T29</f>
        <v>0</v>
      </c>
      <c r="M31" s="330">
        <f>MAX(-0.75*(SUM('Tillegg- Res. Det. Øvrige'!F31:I31,L31)),-'Tillegg- Inndata Øvrige'!S29*'Tillegg- Inndata Øvrige'!U29)</f>
        <v>0</v>
      </c>
      <c r="N31" s="331">
        <f>'Tillegg- Inndata Øvrige'!F29</f>
        <v>0</v>
      </c>
      <c r="O31" s="330">
        <f>'Tillegg- Inndata Øvrige'!O29*'Tillegg- Inndata Øvrige'!R29</f>
        <v>0</v>
      </c>
      <c r="P31" s="332">
        <f>'Tillegg- Inndata Øvrige'!S29*'Tillegg- Inndata Øvrige'!V29</f>
        <v>0</v>
      </c>
      <c r="Q31" s="333">
        <f>SUM(F31:J31,L31)*'Tillegg- Inndata Øvrige'!K29</f>
        <v>0</v>
      </c>
      <c r="R31" s="333">
        <f>(K31+M31)*'Tillegg- Inndata Øvrige'!K29</f>
        <v>0</v>
      </c>
      <c r="S31" s="333">
        <f>SUM(N31:P31)*'Tillegg- Inndata Øvrige'!K29</f>
        <v>0</v>
      </c>
      <c r="T31" s="334">
        <f>('Tillegg- Inndata Øvrige'!G29+'Tillegg- Inndata Øvrige'!O29+'Tillegg- Inndata Øvrige'!S29)*'Tillegg- Inndata Øvrige'!K29*Transport_utslipp_til_avfallshånderting_per_kg</f>
        <v>0</v>
      </c>
      <c r="U31" s="330">
        <f>IF('Tillegg- Inndata Øvrige'!E29 = 0, 0, 1.833*'Tillegg- Inndata Øvrige'!X29*'Tillegg- Inndata Øvrige'!K29*('Tillegg- Inndata Øvrige'!G29*('Tillegg- Inndata Øvrige'!L29*0.5+'Tillegg- Inndata Øvrige'!M29*0.8) + (12/44)*('Tillegg- Inndata Øvrige'!O29*'Tillegg- Inndata Øvrige'!Q29+'Tillegg- Inndata Øvrige'!S29*'Tillegg- Inndata Øvrige'!U29)))</f>
        <v>0</v>
      </c>
      <c r="V31" s="335">
        <f>IF('Tillegg- Inndata Øvrige'!G29 = 0, 0,  MAX(-SUM(F31:J31,L31)*'Tillegg- Inndata Øvrige'!L29, -0.114*IF('Tillegg- Inndata Øvrige'!H29 &gt; 49, _xlfn.XLOOKUP(49, År_etter_ferdigstillelse, karbon_opptak_faktor), _xlfn.XLOOKUP('Tillegg- Inndata Øvrige'!H29, År_etter_ferdigstillelse, karbon_opptak_faktor))*'Tillegg- Inndata Øvrige'!G29*'Tillegg- Inndata Øvrige'!L29*0.5))</f>
        <v>0</v>
      </c>
      <c r="W31" s="333">
        <f>IF('Tillegg- Inndata Øvrige'!G29=0,0,IF('Tillegg- Inndata Øvrige'!H29&gt;49,-0.064*'Tillegg- Inndata Øvrige'!G29*'Tillegg- Inndata Øvrige'!N29,-0.037*'Tillegg- Inndata Øvrige'!J29*'Tillegg- Inndata Øvrige'!N29))</f>
        <v>0</v>
      </c>
      <c r="X31" s="331" cm="1">
        <f t="array" ref="X31">IF(SUM(F31:J31,L31)=0, 0, SUM(F31:J31,L31)*(1+'Tillegg-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Y31" s="330" cm="1">
        <f t="array" ref="Y31">IF(X31=0, 0, SUM(K31,M31)*(1+'Tillegg-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Z31" s="336" cm="1">
        <f t="array" ref="Z31">IF(X31=0, 0, SUM(N31:P31)*(1+'Tillegg-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A31" s="336" cm="1">
        <f t="array" ref="AA31">IF(X31=0, 0, ('Tillegg- Inndata Øvrige'!G29+'Tillegg- Inndata Øvrige'!O29+'Tillegg- Inndata Øvrige'!S29)*(1+'Tillegg- Inndata Øvrige'!K29)*Transport_utslipp_til_avfallshånderting_per_kg*IF('Tillegg-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B31" s="334" cm="1">
        <f t="array" ref="AB31">IF(X31=0, 0,1.833*'Tillegg- Inndata Øvrige'!J29*('Tillegg- Inndata Øvrige'!X29*_xlfn.XLOOKUP(IF('Tillegg- Inndata Øvrige'!I29&lt;2,'Tillegg- Inndata Øvrige'!H29,'Tillegg- Inndata Øvrige'!H29*2), År_etter_ferdigstillelse, Faktorer!$Z$7:$Z$58))*('Tillegg- Inndata Øvrige'!L29*0.5+'Tillegg- Inndata Øvrige'!M29*0.8)*_xlfn.XLOOKUP(IF('Tillegg- Inndata Øvrige'!I29&lt;2,'Tillegg- Inndata Øvrige'!H29,'Tillegg- Inndata Øvrige'!H29*2), År_etter_ferdigstillelse,  IF(LEFT('Tillegg- Inndata Øvrige'!B29, 2)= 49, f_tid_x_f_tek_d_0_037, f_tid_x_f_tek_d_0_01)))</f>
        <v>0</v>
      </c>
      <c r="AC31" s="335">
        <f>IF(('Tillegg- Inndata Øvrige'!G29) = 0, 0,('Tillegg- Inndata Øvrige'!G29*((AG31+AI31)*Transport_utslipp_til_avfallshånderting_per_kg)+('Tillegg- Inndata Øvrige'!Z29*'ZERO-B Beregning'!D131)*IF('ZERO-B Beregning'!F132=0,'ZERO-B Beregning'!D132,'ZERO-B Beregning'!F132))*_xlfn.XLOOKUP(51, År_etter_ferdigstillelse, f_tid_x_f_tek_d_0_01))</f>
        <v>0</v>
      </c>
      <c r="AD31" s="337">
        <f>IF(('Tillegg- Inndata Øvrige'!G29) = 0, 0,1.833*('Tillegg- Inndata Øvrige'!G29*('Tillegg- Inndata Øvrige'!L29*0.5+'Tillegg- Inndata Øvrige'!M29*0.8)*AG31*_xlfn.XLOOKUP(51, År_etter_ferdigstillelse,  f_tid_x_f_tek_d_0_01)))</f>
        <v>0</v>
      </c>
      <c r="AE31" s="333" cm="1">
        <f t="array" ref="AE31">IF(('Tillegg- Inndata Øvrige'!G29) = 0, 0,-0.8*('Tillegg- Inndata Øvrige'!G29)*AH31*('Tillegg- Inndata Øvrige'!E29/'Tillegg- Inndata Øvrige'!G29)*_xlfn.XLOOKUP(51, År_etter_ferdigstillelse,  IF(LEFT('Tillegg- Inndata Øvrige'!B29, 2)= 49, f_tid_x_f_tek_d_0_037, f_tid_x_f_tek_d_0_01)))</f>
        <v>0</v>
      </c>
      <c r="AF31" s="338" cm="1">
        <f t="array" ref="AF31">IF(('Tillegg- Inndata Øvrige'!G29) = 0, 0,-0.1*('Tillegg- Inndata Øvrige'!G29)*AI31*('Tillegg- Inndata Øvrige'!E29/'Tillegg- Inndata Øvrige'!G29)*_xlfn.XLOOKUP(51, År_etter_ferdigstillelse,  IF(LEFT('Tillegg- Inndata Øvrige'!B29, 2)= 49, f_tid_x_f_tek_d_0_037, f_tid_x_f_tek_d_0_01)))</f>
        <v>0</v>
      </c>
      <c r="AG31" s="572">
        <f>IF(('Tillegg- Inndata Øvrige'!G29) = 0, 0,'Tillegg- Inndata Øvrige'!X29*Faktorer!$Z$58)</f>
        <v>0</v>
      </c>
      <c r="AH31" s="573">
        <f>IF(('Tillegg- Inndata Øvrige'!G29) = 0, 0,'Tillegg- Inndata Øvrige'!Z29+('Tillegg- Inndata Øvrige'!X29+'Tillegg- Inndata Øvrige'!Y29)*(1-Faktorer!$Z$58)*0.5)</f>
        <v>0</v>
      </c>
      <c r="AI31" s="574">
        <f>IF(('Tillegg- Inndata Øvrige'!G29) = 0, 0,'Tillegg- Inndata Øvrige'!AA29+('Tillegg- Inndata Øvrige'!X29+'Tillegg- Inndata Øvrige'!Y29)*(1-Faktorer!$Z$58)*0.5)</f>
        <v>0</v>
      </c>
      <c r="AK31" s="90">
        <f t="shared" si="1"/>
        <v>0</v>
      </c>
      <c r="AL31" s="91">
        <f>'Tillegg- Res. Det. Øvrige'!N31</f>
        <v>0</v>
      </c>
      <c r="AM31" s="91" t="str">
        <f>IF(F31=0,"",('Tillegg- Inndata Øvrige'!E31+'Tillegg- Inndata Øvrige'!F31)*ROUNDDOWN('Tillegg- Inndata Øvrige'!I31,0)*(1+'Tillegg- Inndata Øvrige'!K31))</f>
        <v/>
      </c>
      <c r="AO31" s="1"/>
    </row>
    <row r="32" spans="2:67">
      <c r="B32" s="327">
        <f>'Tillegg- Inndata Øvrige'!B30</f>
        <v>0</v>
      </c>
      <c r="C32" s="327">
        <f>'Tillegg- Inndata Øvrige'!C30</f>
        <v>0</v>
      </c>
      <c r="D32" s="327">
        <f>'Tillegg- Inndata Øvrige'!D30</f>
        <v>0</v>
      </c>
      <c r="E32" s="421" cm="1">
        <f t="array" ref="E32">SUM(IFERROR(F32:AF32,0))</f>
        <v>0</v>
      </c>
      <c r="F32" s="330">
        <f>'Tillegg- Inndata Øvrige'!E30</f>
        <v>0</v>
      </c>
      <c r="G32" s="330">
        <f>IF('Tillegg- Inndata Øvrige'!AB30="Ja", -0.8*$F32, 0)</f>
        <v>0</v>
      </c>
      <c r="H32" s="330">
        <f>IF('Tillegg- Inndata Øvrige'!AC30="Ja", -0.4*$F32, 0)</f>
        <v>0</v>
      </c>
      <c r="I32" s="330">
        <f>IF('Tillegg- Inndata Øvrige'!AD30="Ja", -1*$F32, 0)</f>
        <v>0</v>
      </c>
      <c r="J32" s="330">
        <f>'Tillegg- Inndata Øvrige'!O30*'Tillegg- Inndata Øvrige'!P30</f>
        <v>0</v>
      </c>
      <c r="K32" s="330">
        <f>MAX(-0.75*(SUM('Tillegg- Res. Det. Øvrige'!F32:J32)),-'Tillegg- Inndata Øvrige'!O30*'Tillegg- Inndata Øvrige'!Q30)</f>
        <v>0</v>
      </c>
      <c r="L32" s="330">
        <f>'Tillegg- Inndata Øvrige'!S30*'Tillegg- Inndata Øvrige'!T30</f>
        <v>0</v>
      </c>
      <c r="M32" s="330">
        <f>MAX(-0.75*(SUM('Tillegg- Res. Det. Øvrige'!F32:I32,L32)),-'Tillegg- Inndata Øvrige'!S30*'Tillegg- Inndata Øvrige'!U30)</f>
        <v>0</v>
      </c>
      <c r="N32" s="331">
        <f>'Tillegg- Inndata Øvrige'!F30</f>
        <v>0</v>
      </c>
      <c r="O32" s="330">
        <f>'Tillegg- Inndata Øvrige'!O30*'Tillegg- Inndata Øvrige'!R30</f>
        <v>0</v>
      </c>
      <c r="P32" s="332">
        <f>'Tillegg- Inndata Øvrige'!S30*'Tillegg- Inndata Øvrige'!V30</f>
        <v>0</v>
      </c>
      <c r="Q32" s="333">
        <f>SUM(F32:J32,L32)*'Tillegg- Inndata Øvrige'!K30</f>
        <v>0</v>
      </c>
      <c r="R32" s="333">
        <f>(K32+M32)*'Tillegg- Inndata Øvrige'!K30</f>
        <v>0</v>
      </c>
      <c r="S32" s="333">
        <f>SUM(N32:P32)*'Tillegg- Inndata Øvrige'!K30</f>
        <v>0</v>
      </c>
      <c r="T32" s="334">
        <f>('Tillegg- Inndata Øvrige'!G30+'Tillegg- Inndata Øvrige'!O30+'Tillegg- Inndata Øvrige'!S30)*'Tillegg- Inndata Øvrige'!K30*Transport_utslipp_til_avfallshånderting_per_kg</f>
        <v>0</v>
      </c>
      <c r="U32" s="330">
        <f>IF('Tillegg- Inndata Øvrige'!E30 = 0, 0, 1.833*'Tillegg- Inndata Øvrige'!X30*'Tillegg- Inndata Øvrige'!K30*('Tillegg- Inndata Øvrige'!G30*('Tillegg- Inndata Øvrige'!L30*0.5+'Tillegg- Inndata Øvrige'!M30*0.8) + (12/44)*('Tillegg- Inndata Øvrige'!O30*'Tillegg- Inndata Øvrige'!Q30+'Tillegg- Inndata Øvrige'!S30*'Tillegg- Inndata Øvrige'!U30)))</f>
        <v>0</v>
      </c>
      <c r="V32" s="335">
        <f>IF('Tillegg- Inndata Øvrige'!G30 = 0, 0,  MAX(-SUM(F32:J32,L32)*'Tillegg- Inndata Øvrige'!L30, -0.114*IF('Tillegg- Inndata Øvrige'!H30 &gt; 49, _xlfn.XLOOKUP(49, År_etter_ferdigstillelse, karbon_opptak_faktor), _xlfn.XLOOKUP('Tillegg- Inndata Øvrige'!H30, År_etter_ferdigstillelse, karbon_opptak_faktor))*'Tillegg- Inndata Øvrige'!G30*'Tillegg- Inndata Øvrige'!L30*0.5))</f>
        <v>0</v>
      </c>
      <c r="W32" s="333">
        <f>IF('Tillegg- Inndata Øvrige'!G30=0,0,IF('Tillegg- Inndata Øvrige'!H30&gt;49,-0.064*'Tillegg- Inndata Øvrige'!G30*'Tillegg- Inndata Øvrige'!N30,-0.037*'Tillegg- Inndata Øvrige'!J30*'Tillegg- Inndata Øvrige'!N30))</f>
        <v>0</v>
      </c>
      <c r="X32" s="331" cm="1">
        <f t="array" ref="X32">IF(SUM(F32:J32,L32)=0, 0, SUM(F32:J32,L32)*(1+'Tillegg-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Y32" s="330" cm="1">
        <f t="array" ref="Y32">IF(X32=0, 0, SUM(K32,M32)*(1+'Tillegg-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Z32" s="336" cm="1">
        <f t="array" ref="Z32">IF(X32=0, 0, SUM(N32:P32)*(1+'Tillegg-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A32" s="336" cm="1">
        <f t="array" ref="AA32">IF(X32=0, 0, ('Tillegg- Inndata Øvrige'!G30+'Tillegg- Inndata Øvrige'!O30+'Tillegg- Inndata Øvrige'!S30)*(1+'Tillegg- Inndata Øvrige'!K30)*Transport_utslipp_til_avfallshånderting_per_kg*IF('Tillegg-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B32" s="334" cm="1">
        <f t="array" ref="AB32">IF(X32=0, 0,1.833*'Tillegg- Inndata Øvrige'!J30*('Tillegg- Inndata Øvrige'!X30*_xlfn.XLOOKUP(IF('Tillegg- Inndata Øvrige'!I30&lt;2,'Tillegg- Inndata Øvrige'!H30,'Tillegg- Inndata Øvrige'!H30*2), År_etter_ferdigstillelse, Faktorer!$Z$7:$Z$58))*('Tillegg- Inndata Øvrige'!L30*0.5+'Tillegg- Inndata Øvrige'!M30*0.8)*_xlfn.XLOOKUP(IF('Tillegg- Inndata Øvrige'!I30&lt;2,'Tillegg- Inndata Øvrige'!H30,'Tillegg- Inndata Øvrige'!H30*2), År_etter_ferdigstillelse,  IF(LEFT('Tillegg- Inndata Øvrige'!B30, 2)= 49, f_tid_x_f_tek_d_0_037, f_tid_x_f_tek_d_0_01)))</f>
        <v>0</v>
      </c>
      <c r="AC32" s="335">
        <f>IF(('Tillegg- Inndata Øvrige'!G30) = 0, 0,('Tillegg- Inndata Øvrige'!G30*((AG32+AI32)*Transport_utslipp_til_avfallshånderting_per_kg)+('Tillegg- Inndata Øvrige'!Z30*'ZERO-B Beregning'!D132)*IF('ZERO-B Beregning'!F133=0,'ZERO-B Beregning'!D133,'ZERO-B Beregning'!F133))*_xlfn.XLOOKUP(51, År_etter_ferdigstillelse, f_tid_x_f_tek_d_0_01))</f>
        <v>0</v>
      </c>
      <c r="AD32" s="337">
        <f>IF(('Tillegg- Inndata Øvrige'!G30) = 0, 0,1.833*('Tillegg- Inndata Øvrige'!G30*('Tillegg- Inndata Øvrige'!L30*0.5+'Tillegg- Inndata Øvrige'!M30*0.8)*AG32*_xlfn.XLOOKUP(51, År_etter_ferdigstillelse,  f_tid_x_f_tek_d_0_01)))</f>
        <v>0</v>
      </c>
      <c r="AE32" s="333" cm="1">
        <f t="array" ref="AE32">IF(('Tillegg- Inndata Øvrige'!G30) = 0, 0,-0.8*('Tillegg- Inndata Øvrige'!G30)*AH32*('Tillegg- Inndata Øvrige'!E30/'Tillegg- Inndata Øvrige'!G30)*_xlfn.XLOOKUP(51, År_etter_ferdigstillelse,  IF(LEFT('Tillegg- Inndata Øvrige'!B30, 2)= 49, f_tid_x_f_tek_d_0_037, f_tid_x_f_tek_d_0_01)))</f>
        <v>0</v>
      </c>
      <c r="AF32" s="338" cm="1">
        <f t="array" ref="AF32">IF(('Tillegg- Inndata Øvrige'!G30) = 0, 0,-0.1*('Tillegg- Inndata Øvrige'!G30)*AI32*('Tillegg- Inndata Øvrige'!E30/'Tillegg- Inndata Øvrige'!G30)*_xlfn.XLOOKUP(51, År_etter_ferdigstillelse,  IF(LEFT('Tillegg- Inndata Øvrige'!B30, 2)= 49, f_tid_x_f_tek_d_0_037, f_tid_x_f_tek_d_0_01)))</f>
        <v>0</v>
      </c>
      <c r="AG32" s="572">
        <f>IF(('Tillegg- Inndata Øvrige'!G30) = 0, 0,'Tillegg- Inndata Øvrige'!X30*Faktorer!$Z$58)</f>
        <v>0</v>
      </c>
      <c r="AH32" s="573">
        <f>IF(('Tillegg- Inndata Øvrige'!G30) = 0, 0,'Tillegg- Inndata Øvrige'!Z30+('Tillegg- Inndata Øvrige'!X30+'Tillegg- Inndata Øvrige'!Y30)*(1-Faktorer!$Z$58)*0.5)</f>
        <v>0</v>
      </c>
      <c r="AI32" s="574">
        <f>IF(('Tillegg- Inndata Øvrige'!G30) = 0, 0,'Tillegg- Inndata Øvrige'!AA30+('Tillegg- Inndata Øvrige'!X30+'Tillegg- Inndata Øvrige'!Y30)*(1-Faktorer!$Z$58)*0.5)</f>
        <v>0</v>
      </c>
      <c r="AK32" s="90">
        <f t="shared" si="1"/>
        <v>0</v>
      </c>
      <c r="AL32" s="91">
        <f>'Tillegg- Res. Det. Øvrige'!N32</f>
        <v>0</v>
      </c>
      <c r="AM32" s="91" t="str">
        <f>IF(F32=0,"",('Tillegg- Inndata Øvrige'!E32+'Tillegg- Inndata Øvrige'!F32)*ROUNDDOWN('Tillegg- Inndata Øvrige'!I32,0)*(1+'Tillegg- Inndata Øvrige'!K32))</f>
        <v/>
      </c>
      <c r="AO32" s="1"/>
    </row>
    <row r="33" spans="2:41">
      <c r="B33" s="327">
        <f>'Tillegg- Inndata Øvrige'!B31</f>
        <v>0</v>
      </c>
      <c r="C33" s="327">
        <f>'Tillegg- Inndata Øvrige'!C31</f>
        <v>0</v>
      </c>
      <c r="D33" s="327">
        <f>'Tillegg- Inndata Øvrige'!D31</f>
        <v>0</v>
      </c>
      <c r="E33" s="421" cm="1">
        <f t="array" ref="E33">SUM(IFERROR(F33:AF33,0))</f>
        <v>0</v>
      </c>
      <c r="F33" s="330">
        <f>'Tillegg- Inndata Øvrige'!E31</f>
        <v>0</v>
      </c>
      <c r="G33" s="330">
        <f>IF('Tillegg- Inndata Øvrige'!AB31="Ja", -0.8*$F33, 0)</f>
        <v>0</v>
      </c>
      <c r="H33" s="330">
        <f>IF('Tillegg- Inndata Øvrige'!AC31="Ja", -0.4*$F33, 0)</f>
        <v>0</v>
      </c>
      <c r="I33" s="330">
        <f>IF('Tillegg- Inndata Øvrige'!AD31="Ja", -1*$F33, 0)</f>
        <v>0</v>
      </c>
      <c r="J33" s="330">
        <f>'Tillegg- Inndata Øvrige'!O31*'Tillegg- Inndata Øvrige'!P31</f>
        <v>0</v>
      </c>
      <c r="K33" s="330">
        <f>MAX(-0.75*(SUM('Tillegg- Res. Det. Øvrige'!F33:J33)),-'Tillegg- Inndata Øvrige'!O31*'Tillegg- Inndata Øvrige'!Q31)</f>
        <v>0</v>
      </c>
      <c r="L33" s="330">
        <f>'Tillegg- Inndata Øvrige'!S31*'Tillegg- Inndata Øvrige'!T31</f>
        <v>0</v>
      </c>
      <c r="M33" s="330">
        <f>MAX(-0.75*(SUM('Tillegg- Res. Det. Øvrige'!F33:I33,L33)),-'Tillegg- Inndata Øvrige'!S31*'Tillegg- Inndata Øvrige'!U31)</f>
        <v>0</v>
      </c>
      <c r="N33" s="331">
        <f>'Tillegg- Inndata Øvrige'!F31</f>
        <v>0</v>
      </c>
      <c r="O33" s="330">
        <f>'Tillegg- Inndata Øvrige'!O31*'Tillegg- Inndata Øvrige'!R31</f>
        <v>0</v>
      </c>
      <c r="P33" s="332">
        <f>'Tillegg- Inndata Øvrige'!S31*'Tillegg- Inndata Øvrige'!V31</f>
        <v>0</v>
      </c>
      <c r="Q33" s="333">
        <f>SUM(F33:J33,L33)*'Tillegg- Inndata Øvrige'!K31</f>
        <v>0</v>
      </c>
      <c r="R33" s="333">
        <f>(K33+M33)*'Tillegg- Inndata Øvrige'!K31</f>
        <v>0</v>
      </c>
      <c r="S33" s="333">
        <f>SUM(N33:P33)*'Tillegg- Inndata Øvrige'!K31</f>
        <v>0</v>
      </c>
      <c r="T33" s="334">
        <f>('Tillegg- Inndata Øvrige'!G31+'Tillegg- Inndata Øvrige'!O31+'Tillegg- Inndata Øvrige'!S31)*'Tillegg- Inndata Øvrige'!K31*Transport_utslipp_til_avfallshånderting_per_kg</f>
        <v>0</v>
      </c>
      <c r="U33" s="330">
        <f>IF('Tillegg- Inndata Øvrige'!E31 = 0, 0, 1.833*'Tillegg- Inndata Øvrige'!X31*'Tillegg- Inndata Øvrige'!K31*('Tillegg- Inndata Øvrige'!G31*('Tillegg- Inndata Øvrige'!L31*0.5+'Tillegg- Inndata Øvrige'!M31*0.8) + (12/44)*('Tillegg- Inndata Øvrige'!O31*'Tillegg- Inndata Øvrige'!Q31+'Tillegg- Inndata Øvrige'!S31*'Tillegg- Inndata Øvrige'!U31)))</f>
        <v>0</v>
      </c>
      <c r="V33" s="335">
        <f>IF('Tillegg- Inndata Øvrige'!G31 = 0, 0,  MAX(-SUM(F33:J33,L33)*'Tillegg- Inndata Øvrige'!L31, -0.114*IF('Tillegg- Inndata Øvrige'!H31 &gt; 49, _xlfn.XLOOKUP(49, År_etter_ferdigstillelse, karbon_opptak_faktor), _xlfn.XLOOKUP('Tillegg- Inndata Øvrige'!H31, År_etter_ferdigstillelse, karbon_opptak_faktor))*'Tillegg- Inndata Øvrige'!G31*'Tillegg- Inndata Øvrige'!L31*0.5))</f>
        <v>0</v>
      </c>
      <c r="W33" s="333">
        <f>IF('Tillegg- Inndata Øvrige'!G31=0,0,IF('Tillegg- Inndata Øvrige'!H31&gt;49,-0.064*'Tillegg- Inndata Øvrige'!G31*'Tillegg- Inndata Øvrige'!N31,-0.037*'Tillegg- Inndata Øvrige'!J31*'Tillegg- Inndata Øvrige'!N31))</f>
        <v>0</v>
      </c>
      <c r="X33" s="331" cm="1">
        <f t="array" ref="X33">IF(SUM(F33:J33,L33)=0, 0, SUM(F33:J33,L33)*(1+'Tillegg-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Y33" s="330" cm="1">
        <f t="array" ref="Y33">IF(X33=0, 0, SUM(K33,M33)*(1+'Tillegg-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Z33" s="336" cm="1">
        <f t="array" ref="Z33">IF(X33=0, 0, SUM(N33:P33)*(1+'Tillegg-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A33" s="336" cm="1">
        <f t="array" ref="AA33">IF(X33=0, 0, ('Tillegg- Inndata Øvrige'!G31+'Tillegg- Inndata Øvrige'!O31+'Tillegg- Inndata Øvrige'!S31)*(1+'Tillegg- Inndata Øvrige'!K31)*Transport_utslipp_til_avfallshånderting_per_kg*IF('Tillegg-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B33" s="334" cm="1">
        <f t="array" ref="AB33">IF(X33=0, 0,1.833*'Tillegg- Inndata Øvrige'!J31*('Tillegg- Inndata Øvrige'!X31*_xlfn.XLOOKUP(IF('Tillegg- Inndata Øvrige'!I31&lt;2,'Tillegg- Inndata Øvrige'!H31,'Tillegg- Inndata Øvrige'!H31*2), År_etter_ferdigstillelse, Faktorer!$Z$7:$Z$58))*('Tillegg- Inndata Øvrige'!L31*0.5+'Tillegg- Inndata Øvrige'!M31*0.8)*_xlfn.XLOOKUP(IF('Tillegg- Inndata Øvrige'!I31&lt;2,'Tillegg- Inndata Øvrige'!H31,'Tillegg- Inndata Øvrige'!H31*2), År_etter_ferdigstillelse,  IF(LEFT('Tillegg- Inndata Øvrige'!B31, 2)= 49, f_tid_x_f_tek_d_0_037, f_tid_x_f_tek_d_0_01)))</f>
        <v>0</v>
      </c>
      <c r="AC33" s="335">
        <f>IF(('Tillegg- Inndata Øvrige'!G31) = 0, 0,('Tillegg- Inndata Øvrige'!G31*((AG33+AI33)*Transport_utslipp_til_avfallshånderting_per_kg)+('Tillegg- Inndata Øvrige'!Z31*'ZERO-B Beregning'!D133)*IF('ZERO-B Beregning'!F134=0,'ZERO-B Beregning'!D134,'ZERO-B Beregning'!F134))*_xlfn.XLOOKUP(51, År_etter_ferdigstillelse, f_tid_x_f_tek_d_0_01))</f>
        <v>0</v>
      </c>
      <c r="AD33" s="337">
        <f>IF(('Tillegg- Inndata Øvrige'!G31) = 0, 0,1.833*('Tillegg- Inndata Øvrige'!G31*('Tillegg- Inndata Øvrige'!L31*0.5+'Tillegg- Inndata Øvrige'!M31*0.8)*AG33*_xlfn.XLOOKUP(51, År_etter_ferdigstillelse,  f_tid_x_f_tek_d_0_01)))</f>
        <v>0</v>
      </c>
      <c r="AE33" s="333" cm="1">
        <f t="array" ref="AE33">IF(('Tillegg- Inndata Øvrige'!G31) = 0, 0,-0.8*('Tillegg- Inndata Øvrige'!G31)*AH33*('Tillegg- Inndata Øvrige'!E31/'Tillegg- Inndata Øvrige'!G31)*_xlfn.XLOOKUP(51, År_etter_ferdigstillelse,  IF(LEFT('Tillegg- Inndata Øvrige'!B31, 2)= 49, f_tid_x_f_tek_d_0_037, f_tid_x_f_tek_d_0_01)))</f>
        <v>0</v>
      </c>
      <c r="AF33" s="338" cm="1">
        <f t="array" ref="AF33">IF(('Tillegg- Inndata Øvrige'!G31) = 0, 0,-0.1*('Tillegg- Inndata Øvrige'!G31)*AI33*('Tillegg- Inndata Øvrige'!E31/'Tillegg- Inndata Øvrige'!G31)*_xlfn.XLOOKUP(51, År_etter_ferdigstillelse,  IF(LEFT('Tillegg- Inndata Øvrige'!B31, 2)= 49, f_tid_x_f_tek_d_0_037, f_tid_x_f_tek_d_0_01)))</f>
        <v>0</v>
      </c>
      <c r="AG33" s="572">
        <f>IF(('Tillegg- Inndata Øvrige'!G31) = 0, 0,'Tillegg- Inndata Øvrige'!X31*Faktorer!$Z$58)</f>
        <v>0</v>
      </c>
      <c r="AH33" s="573">
        <f>IF(('Tillegg- Inndata Øvrige'!G31) = 0, 0,'Tillegg- Inndata Øvrige'!Z31+('Tillegg- Inndata Øvrige'!X31+'Tillegg- Inndata Øvrige'!Y31)*(1-Faktorer!$Z$58)*0.5)</f>
        <v>0</v>
      </c>
      <c r="AI33" s="574">
        <f>IF(('Tillegg- Inndata Øvrige'!G31) = 0, 0,'Tillegg- Inndata Øvrige'!AA31+('Tillegg- Inndata Øvrige'!X31+'Tillegg- Inndata Øvrige'!Y31)*(1-Faktorer!$Z$58)*0.5)</f>
        <v>0</v>
      </c>
      <c r="AK33" s="90">
        <f t="shared" si="1"/>
        <v>0</v>
      </c>
      <c r="AL33" s="91">
        <f>'Tillegg- Res. Det. Øvrige'!N33</f>
        <v>0</v>
      </c>
      <c r="AM33" s="91" t="str">
        <f>IF(F33=0,"",('Tillegg- Inndata Øvrige'!E33+'Tillegg- Inndata Øvrige'!F33)*ROUNDDOWN('Tillegg- Inndata Øvrige'!I33,0)*(1+'Tillegg- Inndata Øvrige'!K33))</f>
        <v/>
      </c>
      <c r="AO33" s="1"/>
    </row>
    <row r="34" spans="2:41">
      <c r="B34" s="327">
        <f>'Tillegg- Inndata Øvrige'!B32</f>
        <v>0</v>
      </c>
      <c r="C34" s="327">
        <f>'Tillegg- Inndata Øvrige'!C32</f>
        <v>0</v>
      </c>
      <c r="D34" s="327">
        <f>'Tillegg- Inndata Øvrige'!D32</f>
        <v>0</v>
      </c>
      <c r="E34" s="421" cm="1">
        <f t="array" ref="E34">SUM(IFERROR(F34:AF34,0))</f>
        <v>0</v>
      </c>
      <c r="F34" s="330">
        <f>'Tillegg- Inndata Øvrige'!E32</f>
        <v>0</v>
      </c>
      <c r="G34" s="330">
        <f>IF('Tillegg- Inndata Øvrige'!AB32="Ja", -0.8*$F34, 0)</f>
        <v>0</v>
      </c>
      <c r="H34" s="330">
        <f>IF('Tillegg- Inndata Øvrige'!AC32="Ja", -0.4*$F34, 0)</f>
        <v>0</v>
      </c>
      <c r="I34" s="330">
        <f>IF('Tillegg- Inndata Øvrige'!AD32="Ja", -1*$F34, 0)</f>
        <v>0</v>
      </c>
      <c r="J34" s="330">
        <f>'Tillegg- Inndata Øvrige'!O32*'Tillegg- Inndata Øvrige'!P32</f>
        <v>0</v>
      </c>
      <c r="K34" s="330">
        <f>MAX(-0.75*(SUM('Tillegg- Res. Det. Øvrige'!F34:J34)),-'Tillegg- Inndata Øvrige'!O32*'Tillegg- Inndata Øvrige'!Q32)</f>
        <v>0</v>
      </c>
      <c r="L34" s="330">
        <f>'Tillegg- Inndata Øvrige'!S32*'Tillegg- Inndata Øvrige'!T32</f>
        <v>0</v>
      </c>
      <c r="M34" s="330">
        <f>MAX(-0.75*(SUM('Tillegg- Res. Det. Øvrige'!F34:I34,L34)),-'Tillegg- Inndata Øvrige'!S32*'Tillegg- Inndata Øvrige'!U32)</f>
        <v>0</v>
      </c>
      <c r="N34" s="331">
        <f>'Tillegg- Inndata Øvrige'!F32</f>
        <v>0</v>
      </c>
      <c r="O34" s="330">
        <f>'Tillegg- Inndata Øvrige'!O32*'Tillegg- Inndata Øvrige'!R32</f>
        <v>0</v>
      </c>
      <c r="P34" s="332">
        <f>'Tillegg- Inndata Øvrige'!S32*'Tillegg- Inndata Øvrige'!V32</f>
        <v>0</v>
      </c>
      <c r="Q34" s="333">
        <f>SUM(F34:J34,L34)*'Tillegg- Inndata Øvrige'!K32</f>
        <v>0</v>
      </c>
      <c r="R34" s="333">
        <f>(K34+M34)*'Tillegg- Inndata Øvrige'!K32</f>
        <v>0</v>
      </c>
      <c r="S34" s="333">
        <f>SUM(N34:P34)*'Tillegg- Inndata Øvrige'!K32</f>
        <v>0</v>
      </c>
      <c r="T34" s="334">
        <f>('Tillegg- Inndata Øvrige'!G32+'Tillegg- Inndata Øvrige'!O32+'Tillegg- Inndata Øvrige'!S32)*'Tillegg- Inndata Øvrige'!K32*Transport_utslipp_til_avfallshånderting_per_kg</f>
        <v>0</v>
      </c>
      <c r="U34" s="330">
        <f>IF('Tillegg- Inndata Øvrige'!E32 = 0, 0, 1.833*'Tillegg- Inndata Øvrige'!X32*'Tillegg- Inndata Øvrige'!K32*('Tillegg- Inndata Øvrige'!G32*('Tillegg- Inndata Øvrige'!L32*0.5+'Tillegg- Inndata Øvrige'!M32*0.8) + (12/44)*('Tillegg- Inndata Øvrige'!O32*'Tillegg- Inndata Øvrige'!Q32+'Tillegg- Inndata Øvrige'!S32*'Tillegg- Inndata Øvrige'!U32)))</f>
        <v>0</v>
      </c>
      <c r="V34" s="335">
        <f>IF('Tillegg- Inndata Øvrige'!G32 = 0, 0,  MAX(-SUM(F34:J34,L34)*'Tillegg- Inndata Øvrige'!L32, -0.114*IF('Tillegg- Inndata Øvrige'!H32 &gt; 49, _xlfn.XLOOKUP(49, År_etter_ferdigstillelse, karbon_opptak_faktor), _xlfn.XLOOKUP('Tillegg- Inndata Øvrige'!H32, År_etter_ferdigstillelse, karbon_opptak_faktor))*'Tillegg- Inndata Øvrige'!G32*'Tillegg- Inndata Øvrige'!L32*0.5))</f>
        <v>0</v>
      </c>
      <c r="W34" s="333">
        <f>IF('Tillegg- Inndata Øvrige'!G32=0,0,IF('Tillegg- Inndata Øvrige'!H32&gt;49,-0.064*'Tillegg- Inndata Øvrige'!G32*'Tillegg- Inndata Øvrige'!N32,-0.037*'Tillegg- Inndata Øvrige'!J32*'Tillegg- Inndata Øvrige'!N32))</f>
        <v>0</v>
      </c>
      <c r="X34" s="331" cm="1">
        <f t="array" ref="X34">IF(SUM(F34:J34,L34)=0, 0, SUM(F34:J34,L34)*(1+'Tillegg-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Y34" s="330" cm="1">
        <f t="array" ref="Y34">IF(X34=0, 0, SUM(K34,M34)*(1+'Tillegg-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Z34" s="336" cm="1">
        <f t="array" ref="Z34">IF(X34=0, 0, SUM(N34:P34)*(1+'Tillegg-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A34" s="336" cm="1">
        <f t="array" ref="AA34">IF(X34=0, 0, ('Tillegg- Inndata Øvrige'!G32+'Tillegg- Inndata Øvrige'!O32+'Tillegg- Inndata Øvrige'!S32)*(1+'Tillegg- Inndata Øvrige'!K32)*Transport_utslipp_til_avfallshånderting_per_kg*IF('Tillegg-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B34" s="334" cm="1">
        <f t="array" ref="AB34">IF(X34=0, 0,1.833*'Tillegg- Inndata Øvrige'!J32*('Tillegg- Inndata Øvrige'!X32*_xlfn.XLOOKUP(IF('Tillegg- Inndata Øvrige'!I32&lt;2,'Tillegg- Inndata Øvrige'!H32,'Tillegg- Inndata Øvrige'!H32*2), År_etter_ferdigstillelse, Faktorer!$Z$7:$Z$58))*('Tillegg- Inndata Øvrige'!L32*0.5+'Tillegg- Inndata Øvrige'!M32*0.8)*_xlfn.XLOOKUP(IF('Tillegg- Inndata Øvrige'!I32&lt;2,'Tillegg- Inndata Øvrige'!H32,'Tillegg- Inndata Øvrige'!H32*2), År_etter_ferdigstillelse,  IF(LEFT('Tillegg- Inndata Øvrige'!B32, 2)= 49, f_tid_x_f_tek_d_0_037, f_tid_x_f_tek_d_0_01)))</f>
        <v>0</v>
      </c>
      <c r="AC34" s="335">
        <f>IF(('Tillegg- Inndata Øvrige'!G32) = 0, 0,('Tillegg- Inndata Øvrige'!G32*((AG34+AI34)*Transport_utslipp_til_avfallshånderting_per_kg)+('Tillegg- Inndata Øvrige'!Z32*'ZERO-B Beregning'!D134)*IF('ZERO-B Beregning'!F135=0,'ZERO-B Beregning'!D135,'ZERO-B Beregning'!F135))*_xlfn.XLOOKUP(51, År_etter_ferdigstillelse, f_tid_x_f_tek_d_0_01))</f>
        <v>0</v>
      </c>
      <c r="AD34" s="337">
        <f>IF(('Tillegg- Inndata Øvrige'!G32) = 0, 0,1.833*('Tillegg- Inndata Øvrige'!G32*('Tillegg- Inndata Øvrige'!L32*0.5+'Tillegg- Inndata Øvrige'!M32*0.8)*AG34*_xlfn.XLOOKUP(51, År_etter_ferdigstillelse,  f_tid_x_f_tek_d_0_01)))</f>
        <v>0</v>
      </c>
      <c r="AE34" s="333" cm="1">
        <f t="array" ref="AE34">IF(('Tillegg- Inndata Øvrige'!G32) = 0, 0,-0.8*('Tillegg- Inndata Øvrige'!G32)*AH34*('Tillegg- Inndata Øvrige'!E32/'Tillegg- Inndata Øvrige'!G32)*_xlfn.XLOOKUP(51, År_etter_ferdigstillelse,  IF(LEFT('Tillegg- Inndata Øvrige'!B32, 2)= 49, f_tid_x_f_tek_d_0_037, f_tid_x_f_tek_d_0_01)))</f>
        <v>0</v>
      </c>
      <c r="AF34" s="338" cm="1">
        <f t="array" ref="AF34">IF(('Tillegg- Inndata Øvrige'!G32) = 0, 0,-0.1*('Tillegg- Inndata Øvrige'!G32)*AI34*('Tillegg- Inndata Øvrige'!E32/'Tillegg- Inndata Øvrige'!G32)*_xlfn.XLOOKUP(51, År_etter_ferdigstillelse,  IF(LEFT('Tillegg- Inndata Øvrige'!B32, 2)= 49, f_tid_x_f_tek_d_0_037, f_tid_x_f_tek_d_0_01)))</f>
        <v>0</v>
      </c>
      <c r="AG34" s="572">
        <f>IF(('Tillegg- Inndata Øvrige'!G32) = 0, 0,'Tillegg- Inndata Øvrige'!X32*Faktorer!$Z$58)</f>
        <v>0</v>
      </c>
      <c r="AH34" s="573">
        <f>IF(('Tillegg- Inndata Øvrige'!G32) = 0, 0,'Tillegg- Inndata Øvrige'!Z32+('Tillegg- Inndata Øvrige'!X32+'Tillegg- Inndata Øvrige'!Y32)*(1-Faktorer!$Z$58)*0.5)</f>
        <v>0</v>
      </c>
      <c r="AI34" s="574">
        <f>IF(('Tillegg- Inndata Øvrige'!G32) = 0, 0,'Tillegg- Inndata Øvrige'!AA32+('Tillegg- Inndata Øvrige'!X32+'Tillegg- Inndata Øvrige'!Y32)*(1-Faktorer!$Z$58)*0.5)</f>
        <v>0</v>
      </c>
      <c r="AK34" s="90">
        <f t="shared" si="1"/>
        <v>0</v>
      </c>
      <c r="AL34" s="91">
        <f>'Tillegg- Res. Det. Øvrige'!N34</f>
        <v>0</v>
      </c>
      <c r="AM34" s="91" t="str">
        <f>IF(F34=0,"",('Tillegg- Inndata Øvrige'!E34+'Tillegg- Inndata Øvrige'!F34)*ROUNDDOWN('Tillegg- Inndata Øvrige'!I34,0)*(1+'Tillegg- Inndata Øvrige'!K34))</f>
        <v/>
      </c>
      <c r="AO34" s="1"/>
    </row>
    <row r="35" spans="2:41">
      <c r="B35" s="327">
        <f>'Tillegg- Inndata Øvrige'!B33</f>
        <v>0</v>
      </c>
      <c r="C35" s="327">
        <f>'Tillegg- Inndata Øvrige'!C33</f>
        <v>0</v>
      </c>
      <c r="D35" s="327">
        <f>'Tillegg- Inndata Øvrige'!D33</f>
        <v>0</v>
      </c>
      <c r="E35" s="421" cm="1">
        <f t="array" ref="E35">SUM(IFERROR(F35:AF35,0))</f>
        <v>0</v>
      </c>
      <c r="F35" s="330">
        <f>'Tillegg- Inndata Øvrige'!E33</f>
        <v>0</v>
      </c>
      <c r="G35" s="330">
        <f>IF('Tillegg- Inndata Øvrige'!AB33="Ja", -0.8*$F35, 0)</f>
        <v>0</v>
      </c>
      <c r="H35" s="330">
        <f>IF('Tillegg- Inndata Øvrige'!AC33="Ja", -0.4*$F35, 0)</f>
        <v>0</v>
      </c>
      <c r="I35" s="330">
        <f>IF('Tillegg- Inndata Øvrige'!AD33="Ja", -1*$F35, 0)</f>
        <v>0</v>
      </c>
      <c r="J35" s="330">
        <f>'Tillegg- Inndata Øvrige'!O33*'Tillegg- Inndata Øvrige'!P33</f>
        <v>0</v>
      </c>
      <c r="K35" s="330">
        <f>MAX(-0.75*(SUM('Tillegg- Res. Det. Øvrige'!F35:J35)),-'Tillegg- Inndata Øvrige'!O33*'Tillegg- Inndata Øvrige'!Q33)</f>
        <v>0</v>
      </c>
      <c r="L35" s="330">
        <f>'Tillegg- Inndata Øvrige'!S33*'Tillegg- Inndata Øvrige'!T33</f>
        <v>0</v>
      </c>
      <c r="M35" s="330">
        <f>MAX(-0.75*(SUM('Tillegg- Res. Det. Øvrige'!F35:I35,L35)),-'Tillegg- Inndata Øvrige'!S33*'Tillegg- Inndata Øvrige'!U33)</f>
        <v>0</v>
      </c>
      <c r="N35" s="331">
        <f>'Tillegg- Inndata Øvrige'!F33</f>
        <v>0</v>
      </c>
      <c r="O35" s="330">
        <f>'Tillegg- Inndata Øvrige'!O33*'Tillegg- Inndata Øvrige'!R33</f>
        <v>0</v>
      </c>
      <c r="P35" s="332">
        <f>'Tillegg- Inndata Øvrige'!S33*'Tillegg- Inndata Øvrige'!V33</f>
        <v>0</v>
      </c>
      <c r="Q35" s="333">
        <f>SUM(F35:J35,L35)*'Tillegg- Inndata Øvrige'!K33</f>
        <v>0</v>
      </c>
      <c r="R35" s="333">
        <f>(K35+M35)*'Tillegg- Inndata Øvrige'!K33</f>
        <v>0</v>
      </c>
      <c r="S35" s="333">
        <f>SUM(N35:P35)*'Tillegg- Inndata Øvrige'!K33</f>
        <v>0</v>
      </c>
      <c r="T35" s="334">
        <f>('Tillegg- Inndata Øvrige'!G33+'Tillegg- Inndata Øvrige'!O33+'Tillegg- Inndata Øvrige'!S33)*'Tillegg- Inndata Øvrige'!K33*Transport_utslipp_til_avfallshånderting_per_kg</f>
        <v>0</v>
      </c>
      <c r="U35" s="330">
        <f>IF('Tillegg- Inndata Øvrige'!E33 = 0, 0, 1.833*'Tillegg- Inndata Øvrige'!X33*'Tillegg- Inndata Øvrige'!K33*('Tillegg- Inndata Øvrige'!G33*('Tillegg- Inndata Øvrige'!L33*0.5+'Tillegg- Inndata Øvrige'!M33*0.8) + (12/44)*('Tillegg- Inndata Øvrige'!O33*'Tillegg- Inndata Øvrige'!Q33+'Tillegg- Inndata Øvrige'!S33*'Tillegg- Inndata Øvrige'!U33)))</f>
        <v>0</v>
      </c>
      <c r="V35" s="335">
        <f>IF('Tillegg- Inndata Øvrige'!G33 = 0, 0,  MAX(-SUM(F35:J35,L35)*'Tillegg- Inndata Øvrige'!L33, -0.114*IF('Tillegg- Inndata Øvrige'!H33 &gt; 49, _xlfn.XLOOKUP(49, År_etter_ferdigstillelse, karbon_opptak_faktor), _xlfn.XLOOKUP('Tillegg- Inndata Øvrige'!H33, År_etter_ferdigstillelse, karbon_opptak_faktor))*'Tillegg- Inndata Øvrige'!G33*'Tillegg- Inndata Øvrige'!L33*0.5))</f>
        <v>0</v>
      </c>
      <c r="W35" s="333">
        <f>IF('Tillegg- Inndata Øvrige'!G33=0,0,IF('Tillegg- Inndata Øvrige'!H33&gt;49,-0.064*'Tillegg- Inndata Øvrige'!G33*'Tillegg- Inndata Øvrige'!N33,-0.037*'Tillegg- Inndata Øvrige'!J33*'Tillegg- Inndata Øvrige'!N33))</f>
        <v>0</v>
      </c>
      <c r="X35" s="331" cm="1">
        <f t="array" ref="X35">IF(SUM(F35:J35,L35)=0, 0, SUM(F35:J35,L35)*(1+'Tillegg-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Y35" s="330" cm="1">
        <f t="array" ref="Y35">IF(X35=0, 0, SUM(K35,M35)*(1+'Tillegg-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Z35" s="336" cm="1">
        <f t="array" ref="Z35">IF(X35=0, 0, SUM(N35:P35)*(1+'Tillegg-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A35" s="336" cm="1">
        <f t="array" ref="AA35">IF(X35=0, 0, ('Tillegg- Inndata Øvrige'!G33+'Tillegg- Inndata Øvrige'!O33+'Tillegg- Inndata Øvrige'!S33)*(1+'Tillegg- Inndata Øvrige'!K33)*Transport_utslipp_til_avfallshånderting_per_kg*IF('Tillegg-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B35" s="334" cm="1">
        <f t="array" ref="AB35">IF(X35=0, 0,1.833*'Tillegg- Inndata Øvrige'!J33*('Tillegg- Inndata Øvrige'!X33*_xlfn.XLOOKUP(IF('Tillegg- Inndata Øvrige'!I33&lt;2,'Tillegg- Inndata Øvrige'!H33,'Tillegg- Inndata Øvrige'!H33*2), År_etter_ferdigstillelse, Faktorer!$Z$7:$Z$58))*('Tillegg- Inndata Øvrige'!L33*0.5+'Tillegg- Inndata Øvrige'!M33*0.8)*_xlfn.XLOOKUP(IF('Tillegg- Inndata Øvrige'!I33&lt;2,'Tillegg- Inndata Øvrige'!H33,'Tillegg- Inndata Øvrige'!H33*2), År_etter_ferdigstillelse,  IF(LEFT('Tillegg- Inndata Øvrige'!B33, 2)= 49, f_tid_x_f_tek_d_0_037, f_tid_x_f_tek_d_0_01)))</f>
        <v>0</v>
      </c>
      <c r="AC35" s="335">
        <f>IF(('Tillegg- Inndata Øvrige'!G33) = 0, 0,('Tillegg- Inndata Øvrige'!G33*((AG35+AI35)*Transport_utslipp_til_avfallshånderting_per_kg)+('Tillegg- Inndata Øvrige'!Z33*'ZERO-B Beregning'!D135)*IF('ZERO-B Beregning'!F136=0,'ZERO-B Beregning'!D136,'ZERO-B Beregning'!F136))*_xlfn.XLOOKUP(51, År_etter_ferdigstillelse, f_tid_x_f_tek_d_0_01))</f>
        <v>0</v>
      </c>
      <c r="AD35" s="337">
        <f>IF(('Tillegg- Inndata Øvrige'!G33) = 0, 0,1.833*('Tillegg- Inndata Øvrige'!G33*('Tillegg- Inndata Øvrige'!L33*0.5+'Tillegg- Inndata Øvrige'!M33*0.8)*AG35*_xlfn.XLOOKUP(51, År_etter_ferdigstillelse,  f_tid_x_f_tek_d_0_01)))</f>
        <v>0</v>
      </c>
      <c r="AE35" s="333" cm="1">
        <f t="array" ref="AE35">IF(('Tillegg- Inndata Øvrige'!G33) = 0, 0,-0.8*('Tillegg- Inndata Øvrige'!G33)*AH35*('Tillegg- Inndata Øvrige'!E33/'Tillegg- Inndata Øvrige'!G33)*_xlfn.XLOOKUP(51, År_etter_ferdigstillelse,  IF(LEFT('Tillegg- Inndata Øvrige'!B33, 2)= 49, f_tid_x_f_tek_d_0_037, f_tid_x_f_tek_d_0_01)))</f>
        <v>0</v>
      </c>
      <c r="AF35" s="338" cm="1">
        <f t="array" ref="AF35">IF(('Tillegg- Inndata Øvrige'!G33) = 0, 0,-0.1*('Tillegg- Inndata Øvrige'!G33)*AI35*('Tillegg- Inndata Øvrige'!E33/'Tillegg- Inndata Øvrige'!G33)*_xlfn.XLOOKUP(51, År_etter_ferdigstillelse,  IF(LEFT('Tillegg- Inndata Øvrige'!B33, 2)= 49, f_tid_x_f_tek_d_0_037, f_tid_x_f_tek_d_0_01)))</f>
        <v>0</v>
      </c>
      <c r="AG35" s="572">
        <f>IF(('Tillegg- Inndata Øvrige'!G33) = 0, 0,'Tillegg- Inndata Øvrige'!X33*Faktorer!$Z$58)</f>
        <v>0</v>
      </c>
      <c r="AH35" s="573">
        <f>IF(('Tillegg- Inndata Øvrige'!G33) = 0, 0,'Tillegg- Inndata Øvrige'!Z33+('Tillegg- Inndata Øvrige'!X33+'Tillegg- Inndata Øvrige'!Y33)*(1-Faktorer!$Z$58)*0.5)</f>
        <v>0</v>
      </c>
      <c r="AI35" s="574">
        <f>IF(('Tillegg- Inndata Øvrige'!G33) = 0, 0,'Tillegg- Inndata Øvrige'!AA33+('Tillegg- Inndata Øvrige'!X33+'Tillegg- Inndata Øvrige'!Y33)*(1-Faktorer!$Z$58)*0.5)</f>
        <v>0</v>
      </c>
      <c r="AK35" s="90">
        <f t="shared" si="1"/>
        <v>0</v>
      </c>
      <c r="AL35" s="91">
        <f>'Tillegg- Res. Det. Øvrige'!N35</f>
        <v>0</v>
      </c>
      <c r="AM35" s="91" t="str">
        <f>IF(F35=0,"",('Tillegg- Inndata Øvrige'!E35+'Tillegg- Inndata Øvrige'!F35)*ROUNDDOWN('Tillegg- Inndata Øvrige'!I35,0)*(1+'Tillegg- Inndata Øvrige'!K35))</f>
        <v/>
      </c>
      <c r="AO35" s="1"/>
    </row>
    <row r="36" spans="2:41">
      <c r="B36" s="327">
        <f>'Tillegg- Inndata Øvrige'!B34</f>
        <v>0</v>
      </c>
      <c r="C36" s="327">
        <f>'Tillegg- Inndata Øvrige'!C34</f>
        <v>0</v>
      </c>
      <c r="D36" s="327">
        <f>'Tillegg- Inndata Øvrige'!D34</f>
        <v>0</v>
      </c>
      <c r="E36" s="421" cm="1">
        <f t="array" ref="E36">SUM(IFERROR(F36:AF36,0))</f>
        <v>0</v>
      </c>
      <c r="F36" s="330">
        <f>'Tillegg- Inndata Øvrige'!E34</f>
        <v>0</v>
      </c>
      <c r="G36" s="330">
        <f>IF('Tillegg- Inndata Øvrige'!AB34="Ja", -0.8*$F36, 0)</f>
        <v>0</v>
      </c>
      <c r="H36" s="330">
        <f>IF('Tillegg- Inndata Øvrige'!AC34="Ja", -0.4*$F36, 0)</f>
        <v>0</v>
      </c>
      <c r="I36" s="330">
        <f>IF('Tillegg- Inndata Øvrige'!AD34="Ja", -1*$F36, 0)</f>
        <v>0</v>
      </c>
      <c r="J36" s="330">
        <f>'Tillegg- Inndata Øvrige'!O34*'Tillegg- Inndata Øvrige'!P34</f>
        <v>0</v>
      </c>
      <c r="K36" s="330">
        <f>MAX(-0.75*(SUM('Tillegg- Res. Det. Øvrige'!F36:J36)),-'Tillegg- Inndata Øvrige'!O34*'Tillegg- Inndata Øvrige'!Q34)</f>
        <v>0</v>
      </c>
      <c r="L36" s="330">
        <f>'Tillegg- Inndata Øvrige'!S34*'Tillegg- Inndata Øvrige'!T34</f>
        <v>0</v>
      </c>
      <c r="M36" s="330">
        <f>MAX(-0.75*(SUM('Tillegg- Res. Det. Øvrige'!F36:I36,L36)),-'Tillegg- Inndata Øvrige'!S34*'Tillegg- Inndata Øvrige'!U34)</f>
        <v>0</v>
      </c>
      <c r="N36" s="331">
        <f>'Tillegg- Inndata Øvrige'!F34</f>
        <v>0</v>
      </c>
      <c r="O36" s="330">
        <f>'Tillegg- Inndata Øvrige'!O34*'Tillegg- Inndata Øvrige'!R34</f>
        <v>0</v>
      </c>
      <c r="P36" s="332">
        <f>'Tillegg- Inndata Øvrige'!S34*'Tillegg- Inndata Øvrige'!V34</f>
        <v>0</v>
      </c>
      <c r="Q36" s="333">
        <f>SUM(F36:J36,L36)*'Tillegg- Inndata Øvrige'!K34</f>
        <v>0</v>
      </c>
      <c r="R36" s="333">
        <f>(K36+M36)*'Tillegg- Inndata Øvrige'!K34</f>
        <v>0</v>
      </c>
      <c r="S36" s="333">
        <f>SUM(N36:P36)*'Tillegg- Inndata Øvrige'!K34</f>
        <v>0</v>
      </c>
      <c r="T36" s="334">
        <f>('Tillegg- Inndata Øvrige'!G34+'Tillegg- Inndata Øvrige'!O34+'Tillegg- Inndata Øvrige'!S34)*'Tillegg- Inndata Øvrige'!K34*Transport_utslipp_til_avfallshånderting_per_kg</f>
        <v>0</v>
      </c>
      <c r="U36" s="330">
        <f>IF('Tillegg- Inndata Øvrige'!E34 = 0, 0, 1.833*'Tillegg- Inndata Øvrige'!X34*'Tillegg- Inndata Øvrige'!K34*('Tillegg- Inndata Øvrige'!G34*('Tillegg- Inndata Øvrige'!L34*0.5+'Tillegg- Inndata Øvrige'!M34*0.8) + (12/44)*('Tillegg- Inndata Øvrige'!O34*'Tillegg- Inndata Øvrige'!Q34+'Tillegg- Inndata Øvrige'!S34*'Tillegg- Inndata Øvrige'!U34)))</f>
        <v>0</v>
      </c>
      <c r="V36" s="335">
        <f>IF('Tillegg- Inndata Øvrige'!G34 = 0, 0,  MAX(-SUM(F36:J36,L36)*'Tillegg- Inndata Øvrige'!L34, -0.114*IF('Tillegg- Inndata Øvrige'!H34 &gt; 49, _xlfn.XLOOKUP(49, År_etter_ferdigstillelse, karbon_opptak_faktor), _xlfn.XLOOKUP('Tillegg- Inndata Øvrige'!H34, År_etter_ferdigstillelse, karbon_opptak_faktor))*'Tillegg- Inndata Øvrige'!G34*'Tillegg- Inndata Øvrige'!L34*0.5))</f>
        <v>0</v>
      </c>
      <c r="W36" s="333">
        <f>IF('Tillegg- Inndata Øvrige'!G34=0,0,IF('Tillegg- Inndata Øvrige'!H34&gt;49,-0.064*'Tillegg- Inndata Øvrige'!G34*'Tillegg- Inndata Øvrige'!N34,-0.037*'Tillegg- Inndata Øvrige'!J34*'Tillegg- Inndata Øvrige'!N34))</f>
        <v>0</v>
      </c>
      <c r="X36" s="331" cm="1">
        <f t="array" ref="X36">IF(SUM(F36:J36,L36)=0, 0, SUM(F36:J36,L36)*(1+'Tillegg-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Y36" s="330" cm="1">
        <f t="array" ref="Y36">IF(X36=0, 0, SUM(K36,M36)*(1+'Tillegg-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Z36" s="336" cm="1">
        <f t="array" ref="Z36">IF(X36=0, 0, SUM(N36:P36)*(1+'Tillegg-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A36" s="336" cm="1">
        <f t="array" ref="AA36">IF(X36=0, 0, ('Tillegg- Inndata Øvrige'!G34+'Tillegg- Inndata Øvrige'!O34+'Tillegg- Inndata Øvrige'!S34)*(1+'Tillegg- Inndata Øvrige'!K34)*Transport_utslipp_til_avfallshånderting_per_kg*IF('Tillegg-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B36" s="334" cm="1">
        <f t="array" ref="AB36">IF(X36=0, 0,1.833*'Tillegg- Inndata Øvrige'!J34*('Tillegg- Inndata Øvrige'!X34*_xlfn.XLOOKUP(IF('Tillegg- Inndata Øvrige'!I34&lt;2,'Tillegg- Inndata Øvrige'!H34,'Tillegg- Inndata Øvrige'!H34*2), År_etter_ferdigstillelse, Faktorer!$Z$7:$Z$58))*('Tillegg- Inndata Øvrige'!L34*0.5+'Tillegg- Inndata Øvrige'!M34*0.8)*_xlfn.XLOOKUP(IF('Tillegg- Inndata Øvrige'!I34&lt;2,'Tillegg- Inndata Øvrige'!H34,'Tillegg- Inndata Øvrige'!H34*2), År_etter_ferdigstillelse,  IF(LEFT('Tillegg- Inndata Øvrige'!B34, 2)= 49, f_tid_x_f_tek_d_0_037, f_tid_x_f_tek_d_0_01)))</f>
        <v>0</v>
      </c>
      <c r="AC36" s="335">
        <f>IF(('Tillegg- Inndata Øvrige'!G34) = 0, 0,('Tillegg- Inndata Øvrige'!G34*((AG36+AI36)*Transport_utslipp_til_avfallshånderting_per_kg)+('Tillegg- Inndata Øvrige'!Z34*'ZERO-B Beregning'!D136)*IF('ZERO-B Beregning'!F137=0,'ZERO-B Beregning'!D137,'ZERO-B Beregning'!F137))*_xlfn.XLOOKUP(51, År_etter_ferdigstillelse, f_tid_x_f_tek_d_0_01))</f>
        <v>0</v>
      </c>
      <c r="AD36" s="337">
        <f>IF(('Tillegg- Inndata Øvrige'!G34) = 0, 0,1.833*('Tillegg- Inndata Øvrige'!G34*('Tillegg- Inndata Øvrige'!L34*0.5+'Tillegg- Inndata Øvrige'!M34*0.8)*AG36*_xlfn.XLOOKUP(51, År_etter_ferdigstillelse,  f_tid_x_f_tek_d_0_01)))</f>
        <v>0</v>
      </c>
      <c r="AE36" s="333" cm="1">
        <f t="array" ref="AE36">IF(('Tillegg- Inndata Øvrige'!G34) = 0, 0,-0.8*('Tillegg- Inndata Øvrige'!G34)*AH36*('Tillegg- Inndata Øvrige'!E34/'Tillegg- Inndata Øvrige'!G34)*_xlfn.XLOOKUP(51, År_etter_ferdigstillelse,  IF(LEFT('Tillegg- Inndata Øvrige'!B34, 2)= 49, f_tid_x_f_tek_d_0_037, f_tid_x_f_tek_d_0_01)))</f>
        <v>0</v>
      </c>
      <c r="AF36" s="338" cm="1">
        <f t="array" ref="AF36">IF(('Tillegg- Inndata Øvrige'!G34) = 0, 0,-0.1*('Tillegg- Inndata Øvrige'!G34)*AI36*('Tillegg- Inndata Øvrige'!E34/'Tillegg- Inndata Øvrige'!G34)*_xlfn.XLOOKUP(51, År_etter_ferdigstillelse,  IF(LEFT('Tillegg- Inndata Øvrige'!B34, 2)= 49, f_tid_x_f_tek_d_0_037, f_tid_x_f_tek_d_0_01)))</f>
        <v>0</v>
      </c>
      <c r="AG36" s="572">
        <f>IF(('Tillegg- Inndata Øvrige'!G34) = 0, 0,'Tillegg- Inndata Øvrige'!X34*Faktorer!$Z$58)</f>
        <v>0</v>
      </c>
      <c r="AH36" s="573">
        <f>IF(('Tillegg- Inndata Øvrige'!G34) = 0, 0,'Tillegg- Inndata Øvrige'!Z34+('Tillegg- Inndata Øvrige'!X34+'Tillegg- Inndata Øvrige'!Y34)*(1-Faktorer!$Z$58)*0.5)</f>
        <v>0</v>
      </c>
      <c r="AI36" s="574">
        <f>IF(('Tillegg- Inndata Øvrige'!G34) = 0, 0,'Tillegg- Inndata Øvrige'!AA34+('Tillegg- Inndata Øvrige'!X34+'Tillegg- Inndata Øvrige'!Y34)*(1-Faktorer!$Z$58)*0.5)</f>
        <v>0</v>
      </c>
      <c r="AK36" s="90">
        <f t="shared" si="1"/>
        <v>0</v>
      </c>
      <c r="AL36" s="91">
        <f>'Tillegg- Res. Det. Øvrige'!N36</f>
        <v>0</v>
      </c>
      <c r="AM36" s="91" t="str">
        <f>IF(F36=0,"",('Tillegg- Inndata Øvrige'!E36+'Tillegg- Inndata Øvrige'!F36)*ROUNDDOWN('Tillegg- Inndata Øvrige'!I36,0)*(1+'Tillegg- Inndata Øvrige'!K36))</f>
        <v/>
      </c>
      <c r="AO36" s="1"/>
    </row>
    <row r="37" spans="2:41">
      <c r="B37" s="327">
        <f>'Tillegg- Inndata Øvrige'!B35</f>
        <v>0</v>
      </c>
      <c r="C37" s="327">
        <f>'Tillegg- Inndata Øvrige'!C35</f>
        <v>0</v>
      </c>
      <c r="D37" s="327">
        <f>'Tillegg- Inndata Øvrige'!D35</f>
        <v>0</v>
      </c>
      <c r="E37" s="421" cm="1">
        <f t="array" ref="E37">SUM(IFERROR(F37:AF37,0))</f>
        <v>0</v>
      </c>
      <c r="F37" s="330">
        <f>'Tillegg- Inndata Øvrige'!E35</f>
        <v>0</v>
      </c>
      <c r="G37" s="330">
        <f>IF('Tillegg- Inndata Øvrige'!AB35="Ja", -0.8*$F37, 0)</f>
        <v>0</v>
      </c>
      <c r="H37" s="330">
        <f>IF('Tillegg- Inndata Øvrige'!AC35="Ja", -0.4*$F37, 0)</f>
        <v>0</v>
      </c>
      <c r="I37" s="330">
        <f>IF('Tillegg- Inndata Øvrige'!AD35="Ja", -1*$F37, 0)</f>
        <v>0</v>
      </c>
      <c r="J37" s="330">
        <f>'Tillegg- Inndata Øvrige'!O35*'Tillegg- Inndata Øvrige'!P35</f>
        <v>0</v>
      </c>
      <c r="K37" s="330">
        <f>MAX(-0.75*(SUM('Tillegg- Res. Det. Øvrige'!F37:J37)),-'Tillegg- Inndata Øvrige'!O35*'Tillegg- Inndata Øvrige'!Q35)</f>
        <v>0</v>
      </c>
      <c r="L37" s="330">
        <f>'Tillegg- Inndata Øvrige'!S35*'Tillegg- Inndata Øvrige'!T35</f>
        <v>0</v>
      </c>
      <c r="M37" s="330">
        <f>MAX(-0.75*(SUM('Tillegg- Res. Det. Øvrige'!F37:I37,L37)),-'Tillegg- Inndata Øvrige'!S35*'Tillegg- Inndata Øvrige'!U35)</f>
        <v>0</v>
      </c>
      <c r="N37" s="331">
        <f>'Tillegg- Inndata Øvrige'!F35</f>
        <v>0</v>
      </c>
      <c r="O37" s="330">
        <f>'Tillegg- Inndata Øvrige'!O35*'Tillegg- Inndata Øvrige'!R35</f>
        <v>0</v>
      </c>
      <c r="P37" s="332">
        <f>'Tillegg- Inndata Øvrige'!S35*'Tillegg- Inndata Øvrige'!V35</f>
        <v>0</v>
      </c>
      <c r="Q37" s="333">
        <f>SUM(F37:J37,L37)*'Tillegg- Inndata Øvrige'!K35</f>
        <v>0</v>
      </c>
      <c r="R37" s="333">
        <f>(K37+M37)*'Tillegg- Inndata Øvrige'!K35</f>
        <v>0</v>
      </c>
      <c r="S37" s="333">
        <f>SUM(N37:P37)*'Tillegg- Inndata Øvrige'!K35</f>
        <v>0</v>
      </c>
      <c r="T37" s="334">
        <f>('Tillegg- Inndata Øvrige'!G35+'Tillegg- Inndata Øvrige'!O35+'Tillegg- Inndata Øvrige'!S35)*'Tillegg- Inndata Øvrige'!K35*Transport_utslipp_til_avfallshånderting_per_kg</f>
        <v>0</v>
      </c>
      <c r="U37" s="330">
        <f>IF('Tillegg- Inndata Øvrige'!E35 = 0, 0, 1.833*'Tillegg- Inndata Øvrige'!X35*'Tillegg- Inndata Øvrige'!K35*('Tillegg- Inndata Øvrige'!G35*('Tillegg- Inndata Øvrige'!L35*0.5+'Tillegg- Inndata Øvrige'!M35*0.8) + (12/44)*('Tillegg- Inndata Øvrige'!O35*'Tillegg- Inndata Øvrige'!Q35+'Tillegg- Inndata Øvrige'!S35*'Tillegg- Inndata Øvrige'!U35)))</f>
        <v>0</v>
      </c>
      <c r="V37" s="335">
        <f>IF('Tillegg- Inndata Øvrige'!G35 = 0, 0,  MAX(-SUM(F37:J37,L37)*'Tillegg- Inndata Øvrige'!L35, -0.114*IF('Tillegg- Inndata Øvrige'!H35 &gt; 49, _xlfn.XLOOKUP(49, År_etter_ferdigstillelse, karbon_opptak_faktor), _xlfn.XLOOKUP('Tillegg- Inndata Øvrige'!H35, År_etter_ferdigstillelse, karbon_opptak_faktor))*'Tillegg- Inndata Øvrige'!G35*'Tillegg- Inndata Øvrige'!L35*0.5))</f>
        <v>0</v>
      </c>
      <c r="W37" s="333">
        <f>IF('Tillegg- Inndata Øvrige'!G35=0,0,IF('Tillegg- Inndata Øvrige'!H35&gt;49,-0.064*'Tillegg- Inndata Øvrige'!G35*'Tillegg- Inndata Øvrige'!N35,-0.037*'Tillegg- Inndata Øvrige'!J35*'Tillegg- Inndata Øvrige'!N35))</f>
        <v>0</v>
      </c>
      <c r="X37" s="331" cm="1">
        <f t="array" ref="X37">IF(SUM(F37:J37,L37)=0, 0, SUM(F37:J37,L37)*(1+'Tillegg-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Y37" s="330" cm="1">
        <f t="array" ref="Y37">IF(X37=0, 0, SUM(K37,M37)*(1+'Tillegg-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Z37" s="336" cm="1">
        <f t="array" ref="Z37">IF(X37=0, 0, SUM(N37:P37)*(1+'Tillegg-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A37" s="336" cm="1">
        <f t="array" ref="AA37">IF(X37=0, 0, ('Tillegg- Inndata Øvrige'!G35+'Tillegg- Inndata Øvrige'!O35+'Tillegg- Inndata Øvrige'!S35)*(1+'Tillegg- Inndata Øvrige'!K35)*Transport_utslipp_til_avfallshånderting_per_kg*IF('Tillegg-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B37" s="334" cm="1">
        <f t="array" ref="AB37">IF(X37=0, 0,1.833*'Tillegg- Inndata Øvrige'!J35*('Tillegg- Inndata Øvrige'!X35*_xlfn.XLOOKUP(IF('Tillegg- Inndata Øvrige'!I35&lt;2,'Tillegg- Inndata Øvrige'!H35,'Tillegg- Inndata Øvrige'!H35*2), År_etter_ferdigstillelse, Faktorer!$Z$7:$Z$58))*('Tillegg- Inndata Øvrige'!L35*0.5+'Tillegg- Inndata Øvrige'!M35*0.8)*_xlfn.XLOOKUP(IF('Tillegg- Inndata Øvrige'!I35&lt;2,'Tillegg- Inndata Øvrige'!H35,'Tillegg- Inndata Øvrige'!H35*2), År_etter_ferdigstillelse,  IF(LEFT('Tillegg- Inndata Øvrige'!B35, 2)= 49, f_tid_x_f_tek_d_0_037, f_tid_x_f_tek_d_0_01)))</f>
        <v>0</v>
      </c>
      <c r="AC37" s="335">
        <f>IF(('Tillegg- Inndata Øvrige'!G35) = 0, 0,('Tillegg- Inndata Øvrige'!G35*((AG37+AI37)*Transport_utslipp_til_avfallshånderting_per_kg)+('Tillegg- Inndata Øvrige'!Z35*'ZERO-B Beregning'!D137)*IF('ZERO-B Beregning'!F138=0,'ZERO-B Beregning'!D138,'ZERO-B Beregning'!F138))*_xlfn.XLOOKUP(51, År_etter_ferdigstillelse, f_tid_x_f_tek_d_0_01))</f>
        <v>0</v>
      </c>
      <c r="AD37" s="337">
        <f>IF(('Tillegg- Inndata Øvrige'!G35) = 0, 0,1.833*('Tillegg- Inndata Øvrige'!G35*('Tillegg- Inndata Øvrige'!L35*0.5+'Tillegg- Inndata Øvrige'!M35*0.8)*AG37*_xlfn.XLOOKUP(51, År_etter_ferdigstillelse,  f_tid_x_f_tek_d_0_01)))</f>
        <v>0</v>
      </c>
      <c r="AE37" s="333" cm="1">
        <f t="array" ref="AE37">IF(('Tillegg- Inndata Øvrige'!G35) = 0, 0,-0.8*('Tillegg- Inndata Øvrige'!G35)*AH37*('Tillegg- Inndata Øvrige'!E35/'Tillegg- Inndata Øvrige'!G35)*_xlfn.XLOOKUP(51, År_etter_ferdigstillelse,  IF(LEFT('Tillegg- Inndata Øvrige'!B35, 2)= 49, f_tid_x_f_tek_d_0_037, f_tid_x_f_tek_d_0_01)))</f>
        <v>0</v>
      </c>
      <c r="AF37" s="338" cm="1">
        <f t="array" ref="AF37">IF(('Tillegg- Inndata Øvrige'!G35) = 0, 0,-0.1*('Tillegg- Inndata Øvrige'!G35)*AI37*('Tillegg- Inndata Øvrige'!E35/'Tillegg- Inndata Øvrige'!G35)*_xlfn.XLOOKUP(51, År_etter_ferdigstillelse,  IF(LEFT('Tillegg- Inndata Øvrige'!B35, 2)= 49, f_tid_x_f_tek_d_0_037, f_tid_x_f_tek_d_0_01)))</f>
        <v>0</v>
      </c>
      <c r="AG37" s="572">
        <f>IF(('Tillegg- Inndata Øvrige'!G35) = 0, 0,'Tillegg- Inndata Øvrige'!X35*Faktorer!$Z$58)</f>
        <v>0</v>
      </c>
      <c r="AH37" s="573">
        <f>IF(('Tillegg- Inndata Øvrige'!G35) = 0, 0,'Tillegg- Inndata Øvrige'!Z35+('Tillegg- Inndata Øvrige'!X35+'Tillegg- Inndata Øvrige'!Y35)*(1-Faktorer!$Z$58)*0.5)</f>
        <v>0</v>
      </c>
      <c r="AI37" s="574">
        <f>IF(('Tillegg- Inndata Øvrige'!G35) = 0, 0,'Tillegg- Inndata Øvrige'!AA35+('Tillegg- Inndata Øvrige'!X35+'Tillegg- Inndata Øvrige'!Y35)*(1-Faktorer!$Z$58)*0.5)</f>
        <v>0</v>
      </c>
      <c r="AK37" s="90">
        <f t="shared" si="1"/>
        <v>0</v>
      </c>
      <c r="AL37" s="91">
        <f>'Tillegg- Res. Det. Øvrige'!N37</f>
        <v>0</v>
      </c>
      <c r="AM37" s="91" t="str">
        <f>IF(F37=0,"",('Tillegg- Inndata Øvrige'!E37+'Tillegg- Inndata Øvrige'!F37)*ROUNDDOWN('Tillegg- Inndata Øvrige'!I37,0)*(1+'Tillegg- Inndata Øvrige'!K37))</f>
        <v/>
      </c>
      <c r="AO37" s="1"/>
    </row>
    <row r="38" spans="2:41">
      <c r="B38" s="327">
        <f>'Tillegg- Inndata Øvrige'!B36</f>
        <v>0</v>
      </c>
      <c r="C38" s="327">
        <f>'Tillegg- Inndata Øvrige'!C36</f>
        <v>0</v>
      </c>
      <c r="D38" s="327">
        <f>'Tillegg- Inndata Øvrige'!D36</f>
        <v>0</v>
      </c>
      <c r="E38" s="421" cm="1">
        <f t="array" ref="E38">SUM(IFERROR(F38:AF38,0))</f>
        <v>0</v>
      </c>
      <c r="F38" s="330">
        <f>'Tillegg- Inndata Øvrige'!E36</f>
        <v>0</v>
      </c>
      <c r="G38" s="330">
        <f>IF('Tillegg- Inndata Øvrige'!AB36="Ja", -0.8*$F38, 0)</f>
        <v>0</v>
      </c>
      <c r="H38" s="330">
        <f>IF('Tillegg- Inndata Øvrige'!AC36="Ja", -0.4*$F38, 0)</f>
        <v>0</v>
      </c>
      <c r="I38" s="330">
        <f>IF('Tillegg- Inndata Øvrige'!AD36="Ja", -1*$F38, 0)</f>
        <v>0</v>
      </c>
      <c r="J38" s="330">
        <f>'Tillegg- Inndata Øvrige'!O36*'Tillegg- Inndata Øvrige'!P36</f>
        <v>0</v>
      </c>
      <c r="K38" s="330">
        <f>MAX(-0.75*(SUM('Tillegg- Res. Det. Øvrige'!F38:J38)),-'Tillegg- Inndata Øvrige'!O36*'Tillegg- Inndata Øvrige'!Q36)</f>
        <v>0</v>
      </c>
      <c r="L38" s="330">
        <f>'Tillegg- Inndata Øvrige'!S36*'Tillegg- Inndata Øvrige'!T36</f>
        <v>0</v>
      </c>
      <c r="M38" s="330">
        <f>MAX(-0.75*(SUM('Tillegg- Res. Det. Øvrige'!F38:I38,L38)),-'Tillegg- Inndata Øvrige'!S36*'Tillegg- Inndata Øvrige'!U36)</f>
        <v>0</v>
      </c>
      <c r="N38" s="331">
        <f>'Tillegg- Inndata Øvrige'!F36</f>
        <v>0</v>
      </c>
      <c r="O38" s="330">
        <f>'Tillegg- Inndata Øvrige'!O36*'Tillegg- Inndata Øvrige'!R36</f>
        <v>0</v>
      </c>
      <c r="P38" s="332">
        <f>'Tillegg- Inndata Øvrige'!S36*'Tillegg- Inndata Øvrige'!V36</f>
        <v>0</v>
      </c>
      <c r="Q38" s="333">
        <f>SUM(F38:J38,L38)*'Tillegg- Inndata Øvrige'!K36</f>
        <v>0</v>
      </c>
      <c r="R38" s="333">
        <f>(K38+M38)*'Tillegg- Inndata Øvrige'!K36</f>
        <v>0</v>
      </c>
      <c r="S38" s="333">
        <f>SUM(N38:P38)*'Tillegg- Inndata Øvrige'!K36</f>
        <v>0</v>
      </c>
      <c r="T38" s="334">
        <f>('Tillegg- Inndata Øvrige'!G36+'Tillegg- Inndata Øvrige'!O36+'Tillegg- Inndata Øvrige'!S36)*'Tillegg- Inndata Øvrige'!K36*Transport_utslipp_til_avfallshånderting_per_kg</f>
        <v>0</v>
      </c>
      <c r="U38" s="330">
        <f>IF('Tillegg- Inndata Øvrige'!E36 = 0, 0, 1.833*'Tillegg- Inndata Øvrige'!X36*'Tillegg- Inndata Øvrige'!K36*('Tillegg- Inndata Øvrige'!G36*('Tillegg- Inndata Øvrige'!L36*0.5+'Tillegg- Inndata Øvrige'!M36*0.8) + (12/44)*('Tillegg- Inndata Øvrige'!O36*'Tillegg- Inndata Øvrige'!Q36+'Tillegg- Inndata Øvrige'!S36*'Tillegg- Inndata Øvrige'!U36)))</f>
        <v>0</v>
      </c>
      <c r="V38" s="335">
        <f>IF('Tillegg- Inndata Øvrige'!G36 = 0, 0,  MAX(-SUM(F38:J38,L38)*'Tillegg- Inndata Øvrige'!L36, -0.114*IF('Tillegg- Inndata Øvrige'!H36 &gt; 49, _xlfn.XLOOKUP(49, År_etter_ferdigstillelse, karbon_opptak_faktor), _xlfn.XLOOKUP('Tillegg- Inndata Øvrige'!H36, År_etter_ferdigstillelse, karbon_opptak_faktor))*'Tillegg- Inndata Øvrige'!G36*'Tillegg- Inndata Øvrige'!L36*0.5))</f>
        <v>0</v>
      </c>
      <c r="W38" s="333">
        <f>IF('Tillegg- Inndata Øvrige'!G36=0,0,IF('Tillegg- Inndata Øvrige'!H36&gt;49,-0.064*'Tillegg- Inndata Øvrige'!G36*'Tillegg- Inndata Øvrige'!N36,-0.037*'Tillegg- Inndata Øvrige'!J36*'Tillegg- Inndata Øvrige'!N36))</f>
        <v>0</v>
      </c>
      <c r="X38" s="331" cm="1">
        <f t="array" ref="X38">IF(SUM(F38:J38,L38)=0, 0, SUM(F38:J38,L38)*(1+'Tillegg-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Y38" s="330" cm="1">
        <f t="array" ref="Y38">IF(X38=0, 0, SUM(K38,M38)*(1+'Tillegg-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Z38" s="336" cm="1">
        <f t="array" ref="Z38">IF(X38=0, 0, SUM(N38:P38)*(1+'Tillegg-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A38" s="336" cm="1">
        <f t="array" ref="AA38">IF(X38=0, 0, ('Tillegg- Inndata Øvrige'!G36+'Tillegg- Inndata Øvrige'!O36+'Tillegg- Inndata Øvrige'!S36)*(1+'Tillegg- Inndata Øvrige'!K36)*Transport_utslipp_til_avfallshånderting_per_kg*IF('Tillegg-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B38" s="334" cm="1">
        <f t="array" ref="AB38">IF(X38=0, 0,1.833*'Tillegg- Inndata Øvrige'!J36*('Tillegg- Inndata Øvrige'!X36*_xlfn.XLOOKUP(IF('Tillegg- Inndata Øvrige'!I36&lt;2,'Tillegg- Inndata Øvrige'!H36,'Tillegg- Inndata Øvrige'!H36*2), År_etter_ferdigstillelse, Faktorer!$Z$7:$Z$58))*('Tillegg- Inndata Øvrige'!L36*0.5+'Tillegg- Inndata Øvrige'!M36*0.8)*_xlfn.XLOOKUP(IF('Tillegg- Inndata Øvrige'!I36&lt;2,'Tillegg- Inndata Øvrige'!H36,'Tillegg- Inndata Øvrige'!H36*2), År_etter_ferdigstillelse,  IF(LEFT('Tillegg- Inndata Øvrige'!B36, 2)= 49, f_tid_x_f_tek_d_0_037, f_tid_x_f_tek_d_0_01)))</f>
        <v>0</v>
      </c>
      <c r="AC38" s="335">
        <f>IF(('Tillegg- Inndata Øvrige'!G36) = 0, 0,('Tillegg- Inndata Øvrige'!G36*((AG38+AI38)*Transport_utslipp_til_avfallshånderting_per_kg)+('Tillegg- Inndata Øvrige'!Z36*'ZERO-B Beregning'!D138)*IF('ZERO-B Beregning'!F139=0,'ZERO-B Beregning'!D139,'ZERO-B Beregning'!F139))*_xlfn.XLOOKUP(51, År_etter_ferdigstillelse, f_tid_x_f_tek_d_0_01))</f>
        <v>0</v>
      </c>
      <c r="AD38" s="337">
        <f>IF(('Tillegg- Inndata Øvrige'!G36) = 0, 0,1.833*('Tillegg- Inndata Øvrige'!G36*('Tillegg- Inndata Øvrige'!L36*0.5+'Tillegg- Inndata Øvrige'!M36*0.8)*AG38*_xlfn.XLOOKUP(51, År_etter_ferdigstillelse,  f_tid_x_f_tek_d_0_01)))</f>
        <v>0</v>
      </c>
      <c r="AE38" s="333" cm="1">
        <f t="array" ref="AE38">IF(('Tillegg- Inndata Øvrige'!G36) = 0, 0,-0.8*('Tillegg- Inndata Øvrige'!G36)*AH38*('Tillegg- Inndata Øvrige'!E36/'Tillegg- Inndata Øvrige'!G36)*_xlfn.XLOOKUP(51, År_etter_ferdigstillelse,  IF(LEFT('Tillegg- Inndata Øvrige'!B36, 2)= 49, f_tid_x_f_tek_d_0_037, f_tid_x_f_tek_d_0_01)))</f>
        <v>0</v>
      </c>
      <c r="AF38" s="338" cm="1">
        <f t="array" ref="AF38">IF(('Tillegg- Inndata Øvrige'!G36) = 0, 0,-0.1*('Tillegg- Inndata Øvrige'!G36)*AI38*('Tillegg- Inndata Øvrige'!E36/'Tillegg- Inndata Øvrige'!G36)*_xlfn.XLOOKUP(51, År_etter_ferdigstillelse,  IF(LEFT('Tillegg- Inndata Øvrige'!B36, 2)= 49, f_tid_x_f_tek_d_0_037, f_tid_x_f_tek_d_0_01)))</f>
        <v>0</v>
      </c>
      <c r="AG38" s="572">
        <f>IF(('Tillegg- Inndata Øvrige'!G36) = 0, 0,'Tillegg- Inndata Øvrige'!X36*Faktorer!$Z$58)</f>
        <v>0</v>
      </c>
      <c r="AH38" s="573">
        <f>IF(('Tillegg- Inndata Øvrige'!G36) = 0, 0,'Tillegg- Inndata Øvrige'!Z36+('Tillegg- Inndata Øvrige'!X36+'Tillegg- Inndata Øvrige'!Y36)*(1-Faktorer!$Z$58)*0.5)</f>
        <v>0</v>
      </c>
      <c r="AI38" s="574">
        <f>IF(('Tillegg- Inndata Øvrige'!G36) = 0, 0,'Tillegg- Inndata Øvrige'!AA36+('Tillegg- Inndata Øvrige'!X36+'Tillegg- Inndata Øvrige'!Y36)*(1-Faktorer!$Z$58)*0.5)</f>
        <v>0</v>
      </c>
      <c r="AK38" s="90">
        <f t="shared" si="1"/>
        <v>0</v>
      </c>
      <c r="AL38" s="91">
        <f>'Tillegg- Res. Det. Øvrige'!N38</f>
        <v>0</v>
      </c>
      <c r="AM38" s="91" t="str">
        <f>IF(F38=0,"",('Tillegg- Inndata Øvrige'!E38+'Tillegg- Inndata Øvrige'!F38)*ROUNDDOWN('Tillegg- Inndata Øvrige'!I38,0)*(1+'Tillegg- Inndata Øvrige'!K38))</f>
        <v/>
      </c>
      <c r="AO38" s="1"/>
    </row>
    <row r="39" spans="2:41">
      <c r="B39" s="327">
        <f>'Tillegg- Inndata Øvrige'!B37</f>
        <v>0</v>
      </c>
      <c r="C39" s="327">
        <f>'Tillegg- Inndata Øvrige'!C37</f>
        <v>0</v>
      </c>
      <c r="D39" s="327">
        <f>'Tillegg- Inndata Øvrige'!D37</f>
        <v>0</v>
      </c>
      <c r="E39" s="421" cm="1">
        <f t="array" ref="E39">SUM(IFERROR(F39:AF39,0))</f>
        <v>0</v>
      </c>
      <c r="F39" s="330">
        <f>'Tillegg- Inndata Øvrige'!E37</f>
        <v>0</v>
      </c>
      <c r="G39" s="330">
        <f>IF('Tillegg- Inndata Øvrige'!AB37="Ja", -0.8*$F39, 0)</f>
        <v>0</v>
      </c>
      <c r="H39" s="330">
        <f>IF('Tillegg- Inndata Øvrige'!AC37="Ja", -0.4*$F39, 0)</f>
        <v>0</v>
      </c>
      <c r="I39" s="330">
        <f>IF('Tillegg- Inndata Øvrige'!AD37="Ja", -1*$F39, 0)</f>
        <v>0</v>
      </c>
      <c r="J39" s="330">
        <f>'Tillegg- Inndata Øvrige'!O37*'Tillegg- Inndata Øvrige'!P37</f>
        <v>0</v>
      </c>
      <c r="K39" s="330">
        <f>MAX(-0.75*(SUM('Tillegg- Res. Det. Øvrige'!F39:J39)),-'Tillegg- Inndata Øvrige'!O37*'Tillegg- Inndata Øvrige'!Q37)</f>
        <v>0</v>
      </c>
      <c r="L39" s="330">
        <f>'Tillegg- Inndata Øvrige'!S37*'Tillegg- Inndata Øvrige'!T37</f>
        <v>0</v>
      </c>
      <c r="M39" s="330">
        <f>MAX(-0.75*(SUM('Tillegg- Res. Det. Øvrige'!F39:I39,L39)),-'Tillegg- Inndata Øvrige'!S37*'Tillegg- Inndata Øvrige'!U37)</f>
        <v>0</v>
      </c>
      <c r="N39" s="331">
        <f>'Tillegg- Inndata Øvrige'!F37</f>
        <v>0</v>
      </c>
      <c r="O39" s="330">
        <f>'Tillegg- Inndata Øvrige'!O37*'Tillegg- Inndata Øvrige'!R37</f>
        <v>0</v>
      </c>
      <c r="P39" s="332">
        <f>'Tillegg- Inndata Øvrige'!S37*'Tillegg- Inndata Øvrige'!V37</f>
        <v>0</v>
      </c>
      <c r="Q39" s="333">
        <f>SUM(F39:J39,L39)*'Tillegg- Inndata Øvrige'!K37</f>
        <v>0</v>
      </c>
      <c r="R39" s="333">
        <f>(K39+M39)*'Tillegg- Inndata Øvrige'!K37</f>
        <v>0</v>
      </c>
      <c r="S39" s="333">
        <f>SUM(N39:P39)*'Tillegg- Inndata Øvrige'!K37</f>
        <v>0</v>
      </c>
      <c r="T39" s="334">
        <f>('Tillegg- Inndata Øvrige'!G37+'Tillegg- Inndata Øvrige'!O37+'Tillegg- Inndata Øvrige'!S37)*'Tillegg- Inndata Øvrige'!K37*Transport_utslipp_til_avfallshånderting_per_kg</f>
        <v>0</v>
      </c>
      <c r="U39" s="330">
        <f>IF('Tillegg- Inndata Øvrige'!E37 = 0, 0, 1.833*'Tillegg- Inndata Øvrige'!X37*'Tillegg- Inndata Øvrige'!K37*('Tillegg- Inndata Øvrige'!G37*('Tillegg- Inndata Øvrige'!L37*0.5+'Tillegg- Inndata Øvrige'!M37*0.8) + (12/44)*('Tillegg- Inndata Øvrige'!O37*'Tillegg- Inndata Øvrige'!Q37+'Tillegg- Inndata Øvrige'!S37*'Tillegg- Inndata Øvrige'!U37)))</f>
        <v>0</v>
      </c>
      <c r="V39" s="335">
        <f>IF('Tillegg- Inndata Øvrige'!G37 = 0, 0,  MAX(-SUM(F39:J39,L39)*'Tillegg- Inndata Øvrige'!L37, -0.114*IF('Tillegg- Inndata Øvrige'!H37 &gt; 49, _xlfn.XLOOKUP(49, År_etter_ferdigstillelse, karbon_opptak_faktor), _xlfn.XLOOKUP('Tillegg- Inndata Øvrige'!H37, År_etter_ferdigstillelse, karbon_opptak_faktor))*'Tillegg- Inndata Øvrige'!G37*'Tillegg- Inndata Øvrige'!L37*0.5))</f>
        <v>0</v>
      </c>
      <c r="W39" s="333">
        <f>IF('Tillegg- Inndata Øvrige'!G37=0,0,IF('Tillegg- Inndata Øvrige'!H37&gt;49,-0.064*'Tillegg- Inndata Øvrige'!G37*'Tillegg- Inndata Øvrige'!N37,-0.037*'Tillegg- Inndata Øvrige'!J37*'Tillegg- Inndata Øvrige'!N37))</f>
        <v>0</v>
      </c>
      <c r="X39" s="331" cm="1">
        <f t="array" ref="X39">IF(SUM(F39:J39,L39)=0, 0, SUM(F39:J39,L39)*(1+'Tillegg-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Y39" s="330" cm="1">
        <f t="array" ref="Y39">IF(X39=0, 0, SUM(K39,M39)*(1+'Tillegg-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Z39" s="336" cm="1">
        <f t="array" ref="Z39">IF(X39=0, 0, SUM(N39:P39)*(1+'Tillegg-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A39" s="336" cm="1">
        <f t="array" ref="AA39">IF(X39=0, 0, ('Tillegg- Inndata Øvrige'!G37+'Tillegg- Inndata Øvrige'!O37+'Tillegg- Inndata Øvrige'!S37)*(1+'Tillegg- Inndata Øvrige'!K37)*Transport_utslipp_til_avfallshånderting_per_kg*IF('Tillegg-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B39" s="334" cm="1">
        <f t="array" ref="AB39">IF(X39=0, 0,1.833*'Tillegg- Inndata Øvrige'!J37*('Tillegg- Inndata Øvrige'!X37*_xlfn.XLOOKUP(IF('Tillegg- Inndata Øvrige'!I37&lt;2,'Tillegg- Inndata Øvrige'!H37,'Tillegg- Inndata Øvrige'!H37*2), År_etter_ferdigstillelse, Faktorer!$Z$7:$Z$58))*('Tillegg- Inndata Øvrige'!L37*0.5+'Tillegg- Inndata Øvrige'!M37*0.8)*_xlfn.XLOOKUP(IF('Tillegg- Inndata Øvrige'!I37&lt;2,'Tillegg- Inndata Øvrige'!H37,'Tillegg- Inndata Øvrige'!H37*2), År_etter_ferdigstillelse,  IF(LEFT('Tillegg- Inndata Øvrige'!B37, 2)= 49, f_tid_x_f_tek_d_0_037, f_tid_x_f_tek_d_0_01)))</f>
        <v>0</v>
      </c>
      <c r="AC39" s="335">
        <f>IF(('Tillegg- Inndata Øvrige'!G37) = 0, 0,('Tillegg- Inndata Øvrige'!G37*((AG39+AI39)*Transport_utslipp_til_avfallshånderting_per_kg)+('Tillegg- Inndata Øvrige'!Z37*'ZERO-B Beregning'!D139)*IF('ZERO-B Beregning'!F140=0,'ZERO-B Beregning'!D140,'ZERO-B Beregning'!F140))*_xlfn.XLOOKUP(51, År_etter_ferdigstillelse, f_tid_x_f_tek_d_0_01))</f>
        <v>0</v>
      </c>
      <c r="AD39" s="337">
        <f>IF(('Tillegg- Inndata Øvrige'!G37) = 0, 0,1.833*('Tillegg- Inndata Øvrige'!G37*('Tillegg- Inndata Øvrige'!L37*0.5+'Tillegg- Inndata Øvrige'!M37*0.8)*AG39*_xlfn.XLOOKUP(51, År_etter_ferdigstillelse,  f_tid_x_f_tek_d_0_01)))</f>
        <v>0</v>
      </c>
      <c r="AE39" s="333" cm="1">
        <f t="array" ref="AE39">IF(('Tillegg- Inndata Øvrige'!G37) = 0, 0,-0.8*('Tillegg- Inndata Øvrige'!G37)*AH39*('Tillegg- Inndata Øvrige'!E37/'Tillegg- Inndata Øvrige'!G37)*_xlfn.XLOOKUP(51, År_etter_ferdigstillelse,  IF(LEFT('Tillegg- Inndata Øvrige'!B37, 2)= 49, f_tid_x_f_tek_d_0_037, f_tid_x_f_tek_d_0_01)))</f>
        <v>0</v>
      </c>
      <c r="AF39" s="338" cm="1">
        <f t="array" ref="AF39">IF(('Tillegg- Inndata Øvrige'!G37) = 0, 0,-0.1*('Tillegg- Inndata Øvrige'!G37)*AI39*('Tillegg- Inndata Øvrige'!E37/'Tillegg- Inndata Øvrige'!G37)*_xlfn.XLOOKUP(51, År_etter_ferdigstillelse,  IF(LEFT('Tillegg- Inndata Øvrige'!B37, 2)= 49, f_tid_x_f_tek_d_0_037, f_tid_x_f_tek_d_0_01)))</f>
        <v>0</v>
      </c>
      <c r="AG39" s="572">
        <f>IF(('Tillegg- Inndata Øvrige'!G37) = 0, 0,'Tillegg- Inndata Øvrige'!X37*Faktorer!$Z$58)</f>
        <v>0</v>
      </c>
      <c r="AH39" s="573">
        <f>IF(('Tillegg- Inndata Øvrige'!G37) = 0, 0,'Tillegg- Inndata Øvrige'!Z37+('Tillegg- Inndata Øvrige'!X37+'Tillegg- Inndata Øvrige'!Y37)*(1-Faktorer!$Z$58)*0.5)</f>
        <v>0</v>
      </c>
      <c r="AI39" s="574">
        <f>IF(('Tillegg- Inndata Øvrige'!G37) = 0, 0,'Tillegg- Inndata Øvrige'!AA37+('Tillegg- Inndata Øvrige'!X37+'Tillegg- Inndata Øvrige'!Y37)*(1-Faktorer!$Z$58)*0.5)</f>
        <v>0</v>
      </c>
      <c r="AK39" s="90">
        <f t="shared" si="1"/>
        <v>0</v>
      </c>
      <c r="AL39" s="91">
        <f>'Tillegg- Res. Det. Øvrige'!N39</f>
        <v>0</v>
      </c>
      <c r="AM39" s="91" t="str">
        <f>IF(F39=0,"",('Tillegg- Inndata Øvrige'!E39+'Tillegg- Inndata Øvrige'!F39)*ROUNDDOWN('Tillegg- Inndata Øvrige'!I39,0)*(1+'Tillegg- Inndata Øvrige'!K39))</f>
        <v/>
      </c>
      <c r="AO39" s="1"/>
    </row>
    <row r="40" spans="2:41">
      <c r="B40" s="327">
        <f>'Tillegg- Inndata Øvrige'!B38</f>
        <v>0</v>
      </c>
      <c r="C40" s="327">
        <f>'Tillegg- Inndata Øvrige'!C38</f>
        <v>0</v>
      </c>
      <c r="D40" s="327">
        <f>'Tillegg- Inndata Øvrige'!D38</f>
        <v>0</v>
      </c>
      <c r="E40" s="421" cm="1">
        <f t="array" ref="E40">SUM(IFERROR(F40:AF40,0))</f>
        <v>0</v>
      </c>
      <c r="F40" s="330">
        <f>'Tillegg- Inndata Øvrige'!E38</f>
        <v>0</v>
      </c>
      <c r="G40" s="330">
        <f>IF('Tillegg- Inndata Øvrige'!AB38="Ja", -0.8*$F40, 0)</f>
        <v>0</v>
      </c>
      <c r="H40" s="330">
        <f>IF('Tillegg- Inndata Øvrige'!AC38="Ja", -0.4*$F40, 0)</f>
        <v>0</v>
      </c>
      <c r="I40" s="330">
        <f>IF('Tillegg- Inndata Øvrige'!AD38="Ja", -1*$F40, 0)</f>
        <v>0</v>
      </c>
      <c r="J40" s="330">
        <f>'Tillegg- Inndata Øvrige'!O38*'Tillegg- Inndata Øvrige'!P38</f>
        <v>0</v>
      </c>
      <c r="K40" s="330">
        <f>MAX(-0.75*(SUM('Tillegg- Res. Det. Øvrige'!F40:J40)),-'Tillegg- Inndata Øvrige'!O38*'Tillegg- Inndata Øvrige'!Q38)</f>
        <v>0</v>
      </c>
      <c r="L40" s="330">
        <f>'Tillegg- Inndata Øvrige'!S38*'Tillegg- Inndata Øvrige'!T38</f>
        <v>0</v>
      </c>
      <c r="M40" s="330">
        <f>MAX(-0.75*(SUM('Tillegg- Res. Det. Øvrige'!F40:I40,L40)),-'Tillegg- Inndata Øvrige'!S38*'Tillegg- Inndata Øvrige'!U38)</f>
        <v>0</v>
      </c>
      <c r="N40" s="331">
        <f>'Tillegg- Inndata Øvrige'!F38</f>
        <v>0</v>
      </c>
      <c r="O40" s="330">
        <f>'Tillegg- Inndata Øvrige'!O38*'Tillegg- Inndata Øvrige'!R38</f>
        <v>0</v>
      </c>
      <c r="P40" s="332">
        <f>'Tillegg- Inndata Øvrige'!S38*'Tillegg- Inndata Øvrige'!V38</f>
        <v>0</v>
      </c>
      <c r="Q40" s="333">
        <f>SUM(F40:J40,L40)*'Tillegg- Inndata Øvrige'!K38</f>
        <v>0</v>
      </c>
      <c r="R40" s="333">
        <f>(K40+M40)*'Tillegg- Inndata Øvrige'!K38</f>
        <v>0</v>
      </c>
      <c r="S40" s="333">
        <f>SUM(N40:P40)*'Tillegg- Inndata Øvrige'!K38</f>
        <v>0</v>
      </c>
      <c r="T40" s="334">
        <f>('Tillegg- Inndata Øvrige'!G38+'Tillegg- Inndata Øvrige'!O38+'Tillegg- Inndata Øvrige'!S38)*'Tillegg- Inndata Øvrige'!K38*Transport_utslipp_til_avfallshånderting_per_kg</f>
        <v>0</v>
      </c>
      <c r="U40" s="330">
        <f>IF('Tillegg- Inndata Øvrige'!E38 = 0, 0, 1.833*'Tillegg- Inndata Øvrige'!X38*'Tillegg- Inndata Øvrige'!K38*('Tillegg- Inndata Øvrige'!G38*('Tillegg- Inndata Øvrige'!L38*0.5+'Tillegg- Inndata Øvrige'!M38*0.8) + (12/44)*('Tillegg- Inndata Øvrige'!O38*'Tillegg- Inndata Øvrige'!Q38+'Tillegg- Inndata Øvrige'!S38*'Tillegg- Inndata Øvrige'!U38)))</f>
        <v>0</v>
      </c>
      <c r="V40" s="335">
        <f>IF('Tillegg- Inndata Øvrige'!G38 = 0, 0,  MAX(-SUM(F40:J40,L40)*'Tillegg- Inndata Øvrige'!L38, -0.114*IF('Tillegg- Inndata Øvrige'!H38 &gt; 49, _xlfn.XLOOKUP(49, År_etter_ferdigstillelse, karbon_opptak_faktor), _xlfn.XLOOKUP('Tillegg- Inndata Øvrige'!H38, År_etter_ferdigstillelse, karbon_opptak_faktor))*'Tillegg- Inndata Øvrige'!G38*'Tillegg- Inndata Øvrige'!L38*0.5))</f>
        <v>0</v>
      </c>
      <c r="W40" s="333">
        <f>IF('Tillegg- Inndata Øvrige'!G38=0,0,IF('Tillegg- Inndata Øvrige'!H38&gt;49,-0.064*'Tillegg- Inndata Øvrige'!G38*'Tillegg- Inndata Øvrige'!N38,-0.037*'Tillegg- Inndata Øvrige'!J38*'Tillegg- Inndata Øvrige'!N38))</f>
        <v>0</v>
      </c>
      <c r="X40" s="331" cm="1">
        <f t="array" ref="X40">IF(SUM(F40:J40,L40)=0, 0, SUM(F40:J40,L40)*(1+'Tillegg-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Y40" s="330" cm="1">
        <f t="array" ref="Y40">IF(X40=0, 0, SUM(K40,M40)*(1+'Tillegg-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Z40" s="336" cm="1">
        <f t="array" ref="Z40">IF(X40=0, 0, SUM(N40:P40)*(1+'Tillegg-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A40" s="336" cm="1">
        <f t="array" ref="AA40">IF(X40=0, 0, ('Tillegg- Inndata Øvrige'!G38+'Tillegg- Inndata Øvrige'!O38+'Tillegg- Inndata Øvrige'!S38)*(1+'Tillegg- Inndata Øvrige'!K38)*Transport_utslipp_til_avfallshånderting_per_kg*IF('Tillegg-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B40" s="334" cm="1">
        <f t="array" ref="AB40">IF(X40=0, 0,1.833*'Tillegg- Inndata Øvrige'!J38*('Tillegg- Inndata Øvrige'!X38*_xlfn.XLOOKUP(IF('Tillegg- Inndata Øvrige'!I38&lt;2,'Tillegg- Inndata Øvrige'!H38,'Tillegg- Inndata Øvrige'!H38*2), År_etter_ferdigstillelse, Faktorer!$Z$7:$Z$58))*('Tillegg- Inndata Øvrige'!L38*0.5+'Tillegg- Inndata Øvrige'!M38*0.8)*_xlfn.XLOOKUP(IF('Tillegg- Inndata Øvrige'!I38&lt;2,'Tillegg- Inndata Øvrige'!H38,'Tillegg- Inndata Øvrige'!H38*2), År_etter_ferdigstillelse,  IF(LEFT('Tillegg- Inndata Øvrige'!B38, 2)= 49, f_tid_x_f_tek_d_0_037, f_tid_x_f_tek_d_0_01)))</f>
        <v>0</v>
      </c>
      <c r="AC40" s="335">
        <f>IF(('Tillegg- Inndata Øvrige'!G38) = 0, 0,('Tillegg- Inndata Øvrige'!G38*((AG40+AI40)*Transport_utslipp_til_avfallshånderting_per_kg)+('Tillegg- Inndata Øvrige'!Z38*'ZERO-B Beregning'!D140)*IF('ZERO-B Beregning'!F141=0,'ZERO-B Beregning'!D141,'ZERO-B Beregning'!F141))*_xlfn.XLOOKUP(51, År_etter_ferdigstillelse, f_tid_x_f_tek_d_0_01))</f>
        <v>0</v>
      </c>
      <c r="AD40" s="337">
        <f>IF(('Tillegg- Inndata Øvrige'!G38) = 0, 0,1.833*('Tillegg- Inndata Øvrige'!G38*('Tillegg- Inndata Øvrige'!L38*0.5+'Tillegg- Inndata Øvrige'!M38*0.8)*AG40*_xlfn.XLOOKUP(51, År_etter_ferdigstillelse,  f_tid_x_f_tek_d_0_01)))</f>
        <v>0</v>
      </c>
      <c r="AE40" s="333" cm="1">
        <f t="array" ref="AE40">IF(('Tillegg- Inndata Øvrige'!G38) = 0, 0,-0.8*('Tillegg- Inndata Øvrige'!G38)*AH40*('Tillegg- Inndata Øvrige'!E38/'Tillegg- Inndata Øvrige'!G38)*_xlfn.XLOOKUP(51, År_etter_ferdigstillelse,  IF(LEFT('Tillegg- Inndata Øvrige'!B38, 2)= 49, f_tid_x_f_tek_d_0_037, f_tid_x_f_tek_d_0_01)))</f>
        <v>0</v>
      </c>
      <c r="AF40" s="338" cm="1">
        <f t="array" ref="AF40">IF(('Tillegg- Inndata Øvrige'!G38) = 0, 0,-0.1*('Tillegg- Inndata Øvrige'!G38)*AI40*('Tillegg- Inndata Øvrige'!E38/'Tillegg- Inndata Øvrige'!G38)*_xlfn.XLOOKUP(51, År_etter_ferdigstillelse,  IF(LEFT('Tillegg- Inndata Øvrige'!B38, 2)= 49, f_tid_x_f_tek_d_0_037, f_tid_x_f_tek_d_0_01)))</f>
        <v>0</v>
      </c>
      <c r="AG40" s="572">
        <f>IF(('Tillegg- Inndata Øvrige'!G38) = 0, 0,'Tillegg- Inndata Øvrige'!X38*Faktorer!$Z$58)</f>
        <v>0</v>
      </c>
      <c r="AH40" s="573">
        <f>IF(('Tillegg- Inndata Øvrige'!G38) = 0, 0,'Tillegg- Inndata Øvrige'!Z38+('Tillegg- Inndata Øvrige'!X38+'Tillegg- Inndata Øvrige'!Y38)*(1-Faktorer!$Z$58)*0.5)</f>
        <v>0</v>
      </c>
      <c r="AI40" s="574">
        <f>IF(('Tillegg- Inndata Øvrige'!G38) = 0, 0,'Tillegg- Inndata Øvrige'!AA38+('Tillegg- Inndata Øvrige'!X38+'Tillegg- Inndata Øvrige'!Y38)*(1-Faktorer!$Z$58)*0.5)</f>
        <v>0</v>
      </c>
      <c r="AK40" s="90">
        <f t="shared" si="1"/>
        <v>0</v>
      </c>
      <c r="AL40" s="91">
        <f>'Tillegg- Res. Det. Øvrige'!N40</f>
        <v>0</v>
      </c>
      <c r="AM40" s="91" t="str">
        <f>IF(F40=0,"",('Tillegg- Inndata Øvrige'!E40+'Tillegg- Inndata Øvrige'!F40)*ROUNDDOWN('Tillegg- Inndata Øvrige'!I40,0)*(1+'Tillegg- Inndata Øvrige'!K40))</f>
        <v/>
      </c>
      <c r="AO40" s="1"/>
    </row>
    <row r="41" spans="2:41">
      <c r="B41" s="327">
        <f>'Tillegg- Inndata Øvrige'!B39</f>
        <v>0</v>
      </c>
      <c r="C41" s="327">
        <f>'Tillegg- Inndata Øvrige'!C39</f>
        <v>0</v>
      </c>
      <c r="D41" s="327">
        <f>'Tillegg- Inndata Øvrige'!D39</f>
        <v>0</v>
      </c>
      <c r="E41" s="421" cm="1">
        <f t="array" ref="E41">SUM(IFERROR(F41:AF41,0))</f>
        <v>0</v>
      </c>
      <c r="F41" s="330">
        <f>'Tillegg- Inndata Øvrige'!E39</f>
        <v>0</v>
      </c>
      <c r="G41" s="330">
        <f>IF('Tillegg- Inndata Øvrige'!AB39="Ja", -0.8*$F41, 0)</f>
        <v>0</v>
      </c>
      <c r="H41" s="330">
        <f>IF('Tillegg- Inndata Øvrige'!AC39="Ja", -0.4*$F41, 0)</f>
        <v>0</v>
      </c>
      <c r="I41" s="330">
        <f>IF('Tillegg- Inndata Øvrige'!AD39="Ja", -1*$F41, 0)</f>
        <v>0</v>
      </c>
      <c r="J41" s="330">
        <f>'Tillegg- Inndata Øvrige'!O39*'Tillegg- Inndata Øvrige'!P39</f>
        <v>0</v>
      </c>
      <c r="K41" s="330">
        <f>MAX(-0.75*(SUM('Tillegg- Res. Det. Øvrige'!F41:J41)),-'Tillegg- Inndata Øvrige'!O39*'Tillegg- Inndata Øvrige'!Q39)</f>
        <v>0</v>
      </c>
      <c r="L41" s="330">
        <f>'Tillegg- Inndata Øvrige'!S39*'Tillegg- Inndata Øvrige'!T39</f>
        <v>0</v>
      </c>
      <c r="M41" s="330">
        <f>MAX(-0.75*(SUM('Tillegg- Res. Det. Øvrige'!F41:I41,L41)),-'Tillegg- Inndata Øvrige'!S39*'Tillegg- Inndata Øvrige'!U39)</f>
        <v>0</v>
      </c>
      <c r="N41" s="331">
        <f>'Tillegg- Inndata Øvrige'!F39</f>
        <v>0</v>
      </c>
      <c r="O41" s="330">
        <f>'Tillegg- Inndata Øvrige'!O39*'Tillegg- Inndata Øvrige'!R39</f>
        <v>0</v>
      </c>
      <c r="P41" s="332">
        <f>'Tillegg- Inndata Øvrige'!S39*'Tillegg- Inndata Øvrige'!V39</f>
        <v>0</v>
      </c>
      <c r="Q41" s="333">
        <f>SUM(F41:J41,L41)*'Tillegg- Inndata Øvrige'!K39</f>
        <v>0</v>
      </c>
      <c r="R41" s="333">
        <f>(K41+M41)*'Tillegg- Inndata Øvrige'!K39</f>
        <v>0</v>
      </c>
      <c r="S41" s="333">
        <f>SUM(N41:P41)*'Tillegg- Inndata Øvrige'!K39</f>
        <v>0</v>
      </c>
      <c r="T41" s="334">
        <f>('Tillegg- Inndata Øvrige'!G39+'Tillegg- Inndata Øvrige'!O39+'Tillegg- Inndata Øvrige'!S39)*'Tillegg- Inndata Øvrige'!K39*Transport_utslipp_til_avfallshånderting_per_kg</f>
        <v>0</v>
      </c>
      <c r="U41" s="330">
        <f>IF('Tillegg- Inndata Øvrige'!E39 = 0, 0, 1.833*'Tillegg- Inndata Øvrige'!X39*'Tillegg- Inndata Øvrige'!K39*('Tillegg- Inndata Øvrige'!G39*('Tillegg- Inndata Øvrige'!L39*0.5+'Tillegg- Inndata Øvrige'!M39*0.8) + (12/44)*('Tillegg- Inndata Øvrige'!O39*'Tillegg- Inndata Øvrige'!Q39+'Tillegg- Inndata Øvrige'!S39*'Tillegg- Inndata Øvrige'!U39)))</f>
        <v>0</v>
      </c>
      <c r="V41" s="335">
        <f>IF('Tillegg- Inndata Øvrige'!G39 = 0, 0,  MAX(-SUM(F41:J41,L41)*'Tillegg- Inndata Øvrige'!L39, -0.114*IF('Tillegg- Inndata Øvrige'!H39 &gt; 49, _xlfn.XLOOKUP(49, År_etter_ferdigstillelse, karbon_opptak_faktor), _xlfn.XLOOKUP('Tillegg- Inndata Øvrige'!H39, År_etter_ferdigstillelse, karbon_opptak_faktor))*'Tillegg- Inndata Øvrige'!G39*'Tillegg- Inndata Øvrige'!L39*0.5))</f>
        <v>0</v>
      </c>
      <c r="W41" s="333">
        <f>IF('Tillegg- Inndata Øvrige'!G39=0,0,IF('Tillegg- Inndata Øvrige'!H39&gt;49,-0.064*'Tillegg- Inndata Øvrige'!G39*'Tillegg- Inndata Øvrige'!N39,-0.037*'Tillegg- Inndata Øvrige'!J39*'Tillegg- Inndata Øvrige'!N39))</f>
        <v>0</v>
      </c>
      <c r="X41" s="331" cm="1">
        <f t="array" ref="X41">IF(SUM(F41:J41,L41)=0, 0, SUM(F41:J41,L41)*(1+'Tillegg-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Y41" s="330" cm="1">
        <f t="array" ref="Y41">IF(X41=0, 0, SUM(K41,M41)*(1+'Tillegg-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Z41" s="336" cm="1">
        <f t="array" ref="Z41">IF(X41=0, 0, SUM(N41:P41)*(1+'Tillegg-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A41" s="336" cm="1">
        <f t="array" ref="AA41">IF(X41=0, 0, ('Tillegg- Inndata Øvrige'!G39+'Tillegg- Inndata Øvrige'!O39+'Tillegg- Inndata Øvrige'!S39)*(1+'Tillegg- Inndata Øvrige'!K39)*Transport_utslipp_til_avfallshånderting_per_kg*IF('Tillegg-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B41" s="334" cm="1">
        <f t="array" ref="AB41">IF(X41=0, 0,1.833*'Tillegg- Inndata Øvrige'!J39*('Tillegg- Inndata Øvrige'!X39*_xlfn.XLOOKUP(IF('Tillegg- Inndata Øvrige'!I39&lt;2,'Tillegg- Inndata Øvrige'!H39,'Tillegg- Inndata Øvrige'!H39*2), År_etter_ferdigstillelse, Faktorer!$Z$7:$Z$58))*('Tillegg- Inndata Øvrige'!L39*0.5+'Tillegg- Inndata Øvrige'!M39*0.8)*_xlfn.XLOOKUP(IF('Tillegg- Inndata Øvrige'!I39&lt;2,'Tillegg- Inndata Øvrige'!H39,'Tillegg- Inndata Øvrige'!H39*2), År_etter_ferdigstillelse,  IF(LEFT('Tillegg- Inndata Øvrige'!B39, 2)= 49, f_tid_x_f_tek_d_0_037, f_tid_x_f_tek_d_0_01)))</f>
        <v>0</v>
      </c>
      <c r="AC41" s="335">
        <f>IF(('Tillegg- Inndata Øvrige'!G39) = 0, 0,('Tillegg- Inndata Øvrige'!G39*((AG41+AI41)*Transport_utslipp_til_avfallshånderting_per_kg)+('Tillegg- Inndata Øvrige'!Z39*'ZERO-B Beregning'!D141)*IF('ZERO-B Beregning'!F142=0,'ZERO-B Beregning'!D142,'ZERO-B Beregning'!F142))*_xlfn.XLOOKUP(51, År_etter_ferdigstillelse, f_tid_x_f_tek_d_0_01))</f>
        <v>0</v>
      </c>
      <c r="AD41" s="337">
        <f>IF(('Tillegg- Inndata Øvrige'!G39) = 0, 0,1.833*('Tillegg- Inndata Øvrige'!G39*('Tillegg- Inndata Øvrige'!L39*0.5+'Tillegg- Inndata Øvrige'!M39*0.8)*AG41*_xlfn.XLOOKUP(51, År_etter_ferdigstillelse,  f_tid_x_f_tek_d_0_01)))</f>
        <v>0</v>
      </c>
      <c r="AE41" s="333" cm="1">
        <f t="array" ref="AE41">IF(('Tillegg- Inndata Øvrige'!G39) = 0, 0,-0.8*('Tillegg- Inndata Øvrige'!G39)*AH41*('Tillegg- Inndata Øvrige'!E39/'Tillegg- Inndata Øvrige'!G39)*_xlfn.XLOOKUP(51, År_etter_ferdigstillelse,  IF(LEFT('Tillegg- Inndata Øvrige'!B39, 2)= 49, f_tid_x_f_tek_d_0_037, f_tid_x_f_tek_d_0_01)))</f>
        <v>0</v>
      </c>
      <c r="AF41" s="338" cm="1">
        <f t="array" ref="AF41">IF(('Tillegg- Inndata Øvrige'!G39) = 0, 0,-0.1*('Tillegg- Inndata Øvrige'!G39)*AI41*('Tillegg- Inndata Øvrige'!E39/'Tillegg- Inndata Øvrige'!G39)*_xlfn.XLOOKUP(51, År_etter_ferdigstillelse,  IF(LEFT('Tillegg- Inndata Øvrige'!B39, 2)= 49, f_tid_x_f_tek_d_0_037, f_tid_x_f_tek_d_0_01)))</f>
        <v>0</v>
      </c>
      <c r="AG41" s="572">
        <f>IF(('Tillegg- Inndata Øvrige'!G39) = 0, 0,'Tillegg- Inndata Øvrige'!X39*Faktorer!$Z$58)</f>
        <v>0</v>
      </c>
      <c r="AH41" s="573">
        <f>IF(('Tillegg- Inndata Øvrige'!G39) = 0, 0,'Tillegg- Inndata Øvrige'!Z39+('Tillegg- Inndata Øvrige'!X39+'Tillegg- Inndata Øvrige'!Y39)*(1-Faktorer!$Z$58)*0.5)</f>
        <v>0</v>
      </c>
      <c r="AI41" s="574">
        <f>IF(('Tillegg- Inndata Øvrige'!G39) = 0, 0,'Tillegg- Inndata Øvrige'!AA39+('Tillegg- Inndata Øvrige'!X39+'Tillegg- Inndata Øvrige'!Y39)*(1-Faktorer!$Z$58)*0.5)</f>
        <v>0</v>
      </c>
      <c r="AK41" s="90">
        <f t="shared" si="1"/>
        <v>0</v>
      </c>
      <c r="AL41" s="91">
        <f>'Tillegg- Res. Det. Øvrige'!N41</f>
        <v>0</v>
      </c>
      <c r="AM41" s="91" t="str">
        <f>IF(F41=0,"",('Tillegg- Inndata Øvrige'!E41+'Tillegg- Inndata Øvrige'!F41)*ROUNDDOWN('Tillegg- Inndata Øvrige'!I41,0)*(1+'Tillegg- Inndata Øvrige'!K41))</f>
        <v/>
      </c>
      <c r="AO41" s="1"/>
    </row>
    <row r="42" spans="2:41">
      <c r="B42" s="327">
        <f>'Tillegg- Inndata Øvrige'!B40</f>
        <v>0</v>
      </c>
      <c r="C42" s="327">
        <f>'Tillegg- Inndata Øvrige'!C40</f>
        <v>0</v>
      </c>
      <c r="D42" s="327">
        <f>'Tillegg- Inndata Øvrige'!D40</f>
        <v>0</v>
      </c>
      <c r="E42" s="421" cm="1">
        <f t="array" ref="E42">SUM(IFERROR(F42:AF42,0))</f>
        <v>0</v>
      </c>
      <c r="F42" s="330">
        <f>'Tillegg- Inndata Øvrige'!E40</f>
        <v>0</v>
      </c>
      <c r="G42" s="330">
        <f>IF('Tillegg- Inndata Øvrige'!AB40="Ja", -0.8*$F42, 0)</f>
        <v>0</v>
      </c>
      <c r="H42" s="330">
        <f>IF('Tillegg- Inndata Øvrige'!AC40="Ja", -0.4*$F42, 0)</f>
        <v>0</v>
      </c>
      <c r="I42" s="330">
        <f>IF('Tillegg- Inndata Øvrige'!AD40="Ja", -1*$F42, 0)</f>
        <v>0</v>
      </c>
      <c r="J42" s="330">
        <f>'Tillegg- Inndata Øvrige'!O40*'Tillegg- Inndata Øvrige'!P40</f>
        <v>0</v>
      </c>
      <c r="K42" s="330">
        <f>MAX(-0.75*(SUM('Tillegg- Res. Det. Øvrige'!F42:J42)),-'Tillegg- Inndata Øvrige'!O40*'Tillegg- Inndata Øvrige'!Q40)</f>
        <v>0</v>
      </c>
      <c r="L42" s="330">
        <f>'Tillegg- Inndata Øvrige'!S40*'Tillegg- Inndata Øvrige'!T40</f>
        <v>0</v>
      </c>
      <c r="M42" s="330">
        <f>MAX(-0.75*(SUM('Tillegg- Res. Det. Øvrige'!F42:I42,L42)),-'Tillegg- Inndata Øvrige'!S40*'Tillegg- Inndata Øvrige'!U40)</f>
        <v>0</v>
      </c>
      <c r="N42" s="331">
        <f>'Tillegg- Inndata Øvrige'!F40</f>
        <v>0</v>
      </c>
      <c r="O42" s="330">
        <f>'Tillegg- Inndata Øvrige'!O40*'Tillegg- Inndata Øvrige'!R40</f>
        <v>0</v>
      </c>
      <c r="P42" s="332">
        <f>'Tillegg- Inndata Øvrige'!S40*'Tillegg- Inndata Øvrige'!V40</f>
        <v>0</v>
      </c>
      <c r="Q42" s="333">
        <f>SUM(F42:J42,L42)*'Tillegg- Inndata Øvrige'!K40</f>
        <v>0</v>
      </c>
      <c r="R42" s="333">
        <f>(K42+M42)*'Tillegg- Inndata Øvrige'!K40</f>
        <v>0</v>
      </c>
      <c r="S42" s="333">
        <f>SUM(N42:P42)*'Tillegg- Inndata Øvrige'!K40</f>
        <v>0</v>
      </c>
      <c r="T42" s="334">
        <f>('Tillegg- Inndata Øvrige'!G40+'Tillegg- Inndata Øvrige'!O40+'Tillegg- Inndata Øvrige'!S40)*'Tillegg- Inndata Øvrige'!K40*Transport_utslipp_til_avfallshånderting_per_kg</f>
        <v>0</v>
      </c>
      <c r="U42" s="330">
        <f>IF('Tillegg- Inndata Øvrige'!E40 = 0, 0, 1.833*'Tillegg- Inndata Øvrige'!X40*'Tillegg- Inndata Øvrige'!K40*('Tillegg- Inndata Øvrige'!G40*('Tillegg- Inndata Øvrige'!L40*0.5+'Tillegg- Inndata Øvrige'!M40*0.8) + (12/44)*('Tillegg- Inndata Øvrige'!O40*'Tillegg- Inndata Øvrige'!Q40+'Tillegg- Inndata Øvrige'!S40*'Tillegg- Inndata Øvrige'!U40)))</f>
        <v>0</v>
      </c>
      <c r="V42" s="335">
        <f>IF('Tillegg- Inndata Øvrige'!G40 = 0, 0,  MAX(-SUM(F42:J42,L42)*'Tillegg- Inndata Øvrige'!L40, -0.114*IF('Tillegg- Inndata Øvrige'!H40 &gt; 49, _xlfn.XLOOKUP(49, År_etter_ferdigstillelse, karbon_opptak_faktor), _xlfn.XLOOKUP('Tillegg- Inndata Øvrige'!H40, År_etter_ferdigstillelse, karbon_opptak_faktor))*'Tillegg- Inndata Øvrige'!G40*'Tillegg- Inndata Øvrige'!L40*0.5))</f>
        <v>0</v>
      </c>
      <c r="W42" s="333">
        <f>IF('Tillegg- Inndata Øvrige'!G40=0,0,IF('Tillegg- Inndata Øvrige'!H40&gt;49,-0.064*'Tillegg- Inndata Øvrige'!G40*'Tillegg- Inndata Øvrige'!N40,-0.037*'Tillegg- Inndata Øvrige'!J40*'Tillegg- Inndata Øvrige'!N40))</f>
        <v>0</v>
      </c>
      <c r="X42" s="331" cm="1">
        <f t="array" ref="X42">IF(SUM(F42:J42,L42)=0, 0, SUM(F42:J42,L42)*(1+'Tillegg-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Y42" s="330" cm="1">
        <f t="array" ref="Y42">IF(X42=0, 0, SUM(K42,M42)*(1+'Tillegg-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Z42" s="336" cm="1">
        <f t="array" ref="Z42">IF(X42=0, 0, SUM(N42:P42)*(1+'Tillegg-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A42" s="336" cm="1">
        <f t="array" ref="AA42">IF(X42=0, 0, ('Tillegg- Inndata Øvrige'!G40+'Tillegg- Inndata Øvrige'!O40+'Tillegg- Inndata Øvrige'!S40)*(1+'Tillegg- Inndata Øvrige'!K40)*Transport_utslipp_til_avfallshånderting_per_kg*IF('Tillegg-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B42" s="334" cm="1">
        <f t="array" ref="AB42">IF(X42=0, 0,1.833*'Tillegg- Inndata Øvrige'!J40*('Tillegg- Inndata Øvrige'!X40*_xlfn.XLOOKUP(IF('Tillegg- Inndata Øvrige'!I40&lt;2,'Tillegg- Inndata Øvrige'!H40,'Tillegg- Inndata Øvrige'!H40*2), År_etter_ferdigstillelse, Faktorer!$Z$7:$Z$58))*('Tillegg- Inndata Øvrige'!L40*0.5+'Tillegg- Inndata Øvrige'!M40*0.8)*_xlfn.XLOOKUP(IF('Tillegg- Inndata Øvrige'!I40&lt;2,'Tillegg- Inndata Øvrige'!H40,'Tillegg- Inndata Øvrige'!H40*2), År_etter_ferdigstillelse,  IF(LEFT('Tillegg- Inndata Øvrige'!B40, 2)= 49, f_tid_x_f_tek_d_0_037, f_tid_x_f_tek_d_0_01)))</f>
        <v>0</v>
      </c>
      <c r="AC42" s="335">
        <f>IF(('Tillegg- Inndata Øvrige'!G40) = 0, 0,('Tillegg- Inndata Øvrige'!G40*((AG42+AI42)*Transport_utslipp_til_avfallshånderting_per_kg)+('Tillegg- Inndata Øvrige'!Z40*'ZERO-B Beregning'!D142)*IF('ZERO-B Beregning'!F143=0,'ZERO-B Beregning'!D143,'ZERO-B Beregning'!F143))*_xlfn.XLOOKUP(51, År_etter_ferdigstillelse, f_tid_x_f_tek_d_0_01))</f>
        <v>0</v>
      </c>
      <c r="AD42" s="337">
        <f>IF(('Tillegg- Inndata Øvrige'!G40) = 0, 0,1.833*('Tillegg- Inndata Øvrige'!G40*('Tillegg- Inndata Øvrige'!L40*0.5+'Tillegg- Inndata Øvrige'!M40*0.8)*AG42*_xlfn.XLOOKUP(51, År_etter_ferdigstillelse,  f_tid_x_f_tek_d_0_01)))</f>
        <v>0</v>
      </c>
      <c r="AE42" s="333" cm="1">
        <f t="array" ref="AE42">IF(('Tillegg- Inndata Øvrige'!G40) = 0, 0,-0.8*('Tillegg- Inndata Øvrige'!G40)*AH42*('Tillegg- Inndata Øvrige'!E40/'Tillegg- Inndata Øvrige'!G40)*_xlfn.XLOOKUP(51, År_etter_ferdigstillelse,  IF(LEFT('Tillegg- Inndata Øvrige'!B40, 2)= 49, f_tid_x_f_tek_d_0_037, f_tid_x_f_tek_d_0_01)))</f>
        <v>0</v>
      </c>
      <c r="AF42" s="338" cm="1">
        <f t="array" ref="AF42">IF(('Tillegg- Inndata Øvrige'!G40) = 0, 0,-0.1*('Tillegg- Inndata Øvrige'!G40)*AI42*('Tillegg- Inndata Øvrige'!E40/'Tillegg- Inndata Øvrige'!G40)*_xlfn.XLOOKUP(51, År_etter_ferdigstillelse,  IF(LEFT('Tillegg- Inndata Øvrige'!B40, 2)= 49, f_tid_x_f_tek_d_0_037, f_tid_x_f_tek_d_0_01)))</f>
        <v>0</v>
      </c>
      <c r="AG42" s="572">
        <f>IF(('Tillegg- Inndata Øvrige'!G40) = 0, 0,'Tillegg- Inndata Øvrige'!X40*Faktorer!$Z$58)</f>
        <v>0</v>
      </c>
      <c r="AH42" s="573">
        <f>IF(('Tillegg- Inndata Øvrige'!G40) = 0, 0,'Tillegg- Inndata Øvrige'!Z40+('Tillegg- Inndata Øvrige'!X40+'Tillegg- Inndata Øvrige'!Y40)*(1-Faktorer!$Z$58)*0.5)</f>
        <v>0</v>
      </c>
      <c r="AI42" s="574">
        <f>IF(('Tillegg- Inndata Øvrige'!G40) = 0, 0,'Tillegg- Inndata Øvrige'!AA40+('Tillegg- Inndata Øvrige'!X40+'Tillegg- Inndata Øvrige'!Y40)*(1-Faktorer!$Z$58)*0.5)</f>
        <v>0</v>
      </c>
      <c r="AK42" s="90">
        <f t="shared" si="1"/>
        <v>0</v>
      </c>
      <c r="AL42" s="91">
        <f>'Tillegg- Res. Det. Øvrige'!N42</f>
        <v>0</v>
      </c>
      <c r="AM42" s="91" t="str">
        <f>IF(F42=0,"",('Tillegg- Inndata Øvrige'!E42+'Tillegg- Inndata Øvrige'!F42)*ROUNDDOWN('Tillegg- Inndata Øvrige'!I42,0)*(1+'Tillegg- Inndata Øvrige'!K42))</f>
        <v/>
      </c>
      <c r="AO42" s="1"/>
    </row>
    <row r="43" spans="2:41">
      <c r="B43" s="327">
        <f>'Tillegg- Inndata Øvrige'!B41</f>
        <v>0</v>
      </c>
      <c r="C43" s="327">
        <f>'Tillegg- Inndata Øvrige'!C41</f>
        <v>0</v>
      </c>
      <c r="D43" s="327">
        <f>'Tillegg- Inndata Øvrige'!D41</f>
        <v>0</v>
      </c>
      <c r="E43" s="421" cm="1">
        <f t="array" ref="E43">SUM(IFERROR(F43:AF43,0))</f>
        <v>0</v>
      </c>
      <c r="F43" s="330">
        <f>'Tillegg- Inndata Øvrige'!E41</f>
        <v>0</v>
      </c>
      <c r="G43" s="330">
        <f>IF('Tillegg- Inndata Øvrige'!AB41="Ja", -0.8*$F43, 0)</f>
        <v>0</v>
      </c>
      <c r="H43" s="330">
        <f>IF('Tillegg- Inndata Øvrige'!AC41="Ja", -0.4*$F43, 0)</f>
        <v>0</v>
      </c>
      <c r="I43" s="330">
        <f>IF('Tillegg- Inndata Øvrige'!AD41="Ja", -1*$F43, 0)</f>
        <v>0</v>
      </c>
      <c r="J43" s="330">
        <f>'Tillegg- Inndata Øvrige'!O41*'Tillegg- Inndata Øvrige'!P41</f>
        <v>0</v>
      </c>
      <c r="K43" s="330">
        <f>MAX(-0.75*(SUM('Tillegg- Res. Det. Øvrige'!F43:J43)),-'Tillegg- Inndata Øvrige'!O41*'Tillegg- Inndata Øvrige'!Q41)</f>
        <v>0</v>
      </c>
      <c r="L43" s="330">
        <f>'Tillegg- Inndata Øvrige'!S41*'Tillegg- Inndata Øvrige'!T41</f>
        <v>0</v>
      </c>
      <c r="M43" s="330">
        <f>MAX(-0.75*(SUM('Tillegg- Res. Det. Øvrige'!F43:I43,L43)),-'Tillegg- Inndata Øvrige'!S41*'Tillegg- Inndata Øvrige'!U41)</f>
        <v>0</v>
      </c>
      <c r="N43" s="331">
        <f>'Tillegg- Inndata Øvrige'!F41</f>
        <v>0</v>
      </c>
      <c r="O43" s="330">
        <f>'Tillegg- Inndata Øvrige'!O41*'Tillegg- Inndata Øvrige'!R41</f>
        <v>0</v>
      </c>
      <c r="P43" s="332">
        <f>'Tillegg- Inndata Øvrige'!S41*'Tillegg- Inndata Øvrige'!V41</f>
        <v>0</v>
      </c>
      <c r="Q43" s="333">
        <f>SUM(F43:J43,L43)*'Tillegg- Inndata Øvrige'!K41</f>
        <v>0</v>
      </c>
      <c r="R43" s="333">
        <f>(K43+M43)*'Tillegg- Inndata Øvrige'!K41</f>
        <v>0</v>
      </c>
      <c r="S43" s="333">
        <f>SUM(N43:P43)*'Tillegg- Inndata Øvrige'!K41</f>
        <v>0</v>
      </c>
      <c r="T43" s="334">
        <f>('Tillegg- Inndata Øvrige'!G41+'Tillegg- Inndata Øvrige'!O41+'Tillegg- Inndata Øvrige'!S41)*'Tillegg- Inndata Øvrige'!K41*Transport_utslipp_til_avfallshånderting_per_kg</f>
        <v>0</v>
      </c>
      <c r="U43" s="330">
        <f>IF('Tillegg- Inndata Øvrige'!E41 = 0, 0, 1.833*'Tillegg- Inndata Øvrige'!X41*'Tillegg- Inndata Øvrige'!K41*('Tillegg- Inndata Øvrige'!G41*('Tillegg- Inndata Øvrige'!L41*0.5+'Tillegg- Inndata Øvrige'!M41*0.8) + (12/44)*('Tillegg- Inndata Øvrige'!O41*'Tillegg- Inndata Øvrige'!Q41+'Tillegg- Inndata Øvrige'!S41*'Tillegg- Inndata Øvrige'!U41)))</f>
        <v>0</v>
      </c>
      <c r="V43" s="335">
        <f>IF('Tillegg- Inndata Øvrige'!G41 = 0, 0,  MAX(-SUM(F43:J43,L43)*'Tillegg- Inndata Øvrige'!L41, -0.114*IF('Tillegg- Inndata Øvrige'!H41 &gt; 49, _xlfn.XLOOKUP(49, År_etter_ferdigstillelse, karbon_opptak_faktor), _xlfn.XLOOKUP('Tillegg- Inndata Øvrige'!H41, År_etter_ferdigstillelse, karbon_opptak_faktor))*'Tillegg- Inndata Øvrige'!G41*'Tillegg- Inndata Øvrige'!L41*0.5))</f>
        <v>0</v>
      </c>
      <c r="W43" s="333">
        <f>IF('Tillegg- Inndata Øvrige'!G41=0,0,IF('Tillegg- Inndata Øvrige'!H41&gt;49,-0.064*'Tillegg- Inndata Øvrige'!G41*'Tillegg- Inndata Øvrige'!N41,-0.037*'Tillegg- Inndata Øvrige'!J41*'Tillegg- Inndata Øvrige'!N41))</f>
        <v>0</v>
      </c>
      <c r="X43" s="331" cm="1">
        <f t="array" ref="X43">IF(SUM(F43:J43,L43)=0, 0, SUM(F43:J43,L43)*(1+'Tillegg-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Y43" s="330" cm="1">
        <f t="array" ref="Y43">IF(X43=0, 0, SUM(K43,M43)*(1+'Tillegg-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Z43" s="336" cm="1">
        <f t="array" ref="Z43">IF(X43=0, 0, SUM(N43:P43)*(1+'Tillegg-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A43" s="336" cm="1">
        <f t="array" ref="AA43">IF(X43=0, 0, ('Tillegg- Inndata Øvrige'!G41+'Tillegg- Inndata Øvrige'!O41+'Tillegg- Inndata Øvrige'!S41)*(1+'Tillegg- Inndata Øvrige'!K41)*Transport_utslipp_til_avfallshånderting_per_kg*IF('Tillegg-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B43" s="334" cm="1">
        <f t="array" ref="AB43">IF(X43=0, 0,1.833*'Tillegg- Inndata Øvrige'!J41*('Tillegg- Inndata Øvrige'!X41*_xlfn.XLOOKUP(IF('Tillegg- Inndata Øvrige'!I41&lt;2,'Tillegg- Inndata Øvrige'!H41,'Tillegg- Inndata Øvrige'!H41*2), År_etter_ferdigstillelse, Faktorer!$Z$7:$Z$58))*('Tillegg- Inndata Øvrige'!L41*0.5+'Tillegg- Inndata Øvrige'!M41*0.8)*_xlfn.XLOOKUP(IF('Tillegg- Inndata Øvrige'!I41&lt;2,'Tillegg- Inndata Øvrige'!H41,'Tillegg- Inndata Øvrige'!H41*2), År_etter_ferdigstillelse,  IF(LEFT('Tillegg- Inndata Øvrige'!B41, 2)= 49, f_tid_x_f_tek_d_0_037, f_tid_x_f_tek_d_0_01)))</f>
        <v>0</v>
      </c>
      <c r="AC43" s="335">
        <f>IF(('Tillegg- Inndata Øvrige'!G41) = 0, 0,('Tillegg- Inndata Øvrige'!G41*((AG43+AI43)*Transport_utslipp_til_avfallshånderting_per_kg)+('Tillegg- Inndata Øvrige'!Z41*'ZERO-B Beregning'!D143)*IF('ZERO-B Beregning'!F144=0,'ZERO-B Beregning'!D144,'ZERO-B Beregning'!F144))*_xlfn.XLOOKUP(51, År_etter_ferdigstillelse, f_tid_x_f_tek_d_0_01))</f>
        <v>0</v>
      </c>
      <c r="AD43" s="337">
        <f>IF(('Tillegg- Inndata Øvrige'!G41) = 0, 0,1.833*('Tillegg- Inndata Øvrige'!G41*('Tillegg- Inndata Øvrige'!L41*0.5+'Tillegg- Inndata Øvrige'!M41*0.8)*AG43*_xlfn.XLOOKUP(51, År_etter_ferdigstillelse,  f_tid_x_f_tek_d_0_01)))</f>
        <v>0</v>
      </c>
      <c r="AE43" s="333" cm="1">
        <f t="array" ref="AE43">IF(('Tillegg- Inndata Øvrige'!G41) = 0, 0,-0.8*('Tillegg- Inndata Øvrige'!G41)*AH43*('Tillegg- Inndata Øvrige'!E41/'Tillegg- Inndata Øvrige'!G41)*_xlfn.XLOOKUP(51, År_etter_ferdigstillelse,  IF(LEFT('Tillegg- Inndata Øvrige'!B41, 2)= 49, f_tid_x_f_tek_d_0_037, f_tid_x_f_tek_d_0_01)))</f>
        <v>0</v>
      </c>
      <c r="AF43" s="338" cm="1">
        <f t="array" ref="AF43">IF(('Tillegg- Inndata Øvrige'!G41) = 0, 0,-0.1*('Tillegg- Inndata Øvrige'!G41)*AI43*('Tillegg- Inndata Øvrige'!E41/'Tillegg- Inndata Øvrige'!G41)*_xlfn.XLOOKUP(51, År_etter_ferdigstillelse,  IF(LEFT('Tillegg- Inndata Øvrige'!B41, 2)= 49, f_tid_x_f_tek_d_0_037, f_tid_x_f_tek_d_0_01)))</f>
        <v>0</v>
      </c>
      <c r="AG43" s="572">
        <f>IF(('Tillegg- Inndata Øvrige'!G41) = 0, 0,'Tillegg- Inndata Øvrige'!X41*Faktorer!$Z$58)</f>
        <v>0</v>
      </c>
      <c r="AH43" s="573">
        <f>IF(('Tillegg- Inndata Øvrige'!G41) = 0, 0,'Tillegg- Inndata Øvrige'!Z41+('Tillegg- Inndata Øvrige'!X41+'Tillegg- Inndata Øvrige'!Y41)*(1-Faktorer!$Z$58)*0.5)</f>
        <v>0</v>
      </c>
      <c r="AI43" s="574">
        <f>IF(('Tillegg- Inndata Øvrige'!G41) = 0, 0,'Tillegg- Inndata Øvrige'!AA41+('Tillegg- Inndata Øvrige'!X41+'Tillegg- Inndata Øvrige'!Y41)*(1-Faktorer!$Z$58)*0.5)</f>
        <v>0</v>
      </c>
      <c r="AK43" s="90">
        <f t="shared" si="1"/>
        <v>0</v>
      </c>
      <c r="AL43" s="91">
        <f>'Tillegg- Res. Det. Øvrige'!N43</f>
        <v>0</v>
      </c>
      <c r="AM43" s="91" t="str">
        <f>IF(F43=0,"",('Tillegg- Inndata Øvrige'!E43+'Tillegg- Inndata Øvrige'!F43)*ROUNDDOWN('Tillegg- Inndata Øvrige'!I43,0)*(1+'Tillegg- Inndata Øvrige'!K43))</f>
        <v/>
      </c>
      <c r="AO43" s="1"/>
    </row>
    <row r="44" spans="2:41">
      <c r="B44" s="327">
        <f>'Tillegg- Inndata Øvrige'!B42</f>
        <v>0</v>
      </c>
      <c r="C44" s="327">
        <f>'Tillegg- Inndata Øvrige'!C42</f>
        <v>0</v>
      </c>
      <c r="D44" s="327">
        <f>'Tillegg- Inndata Øvrige'!D42</f>
        <v>0</v>
      </c>
      <c r="E44" s="421" cm="1">
        <f t="array" ref="E44">SUM(IFERROR(F44:AF44,0))</f>
        <v>0</v>
      </c>
      <c r="F44" s="330">
        <f>'Tillegg- Inndata Øvrige'!E42</f>
        <v>0</v>
      </c>
      <c r="G44" s="330">
        <f>IF('Tillegg- Inndata Øvrige'!AB42="Ja", -0.8*$F44, 0)</f>
        <v>0</v>
      </c>
      <c r="H44" s="330">
        <f>IF('Tillegg- Inndata Øvrige'!AC42="Ja", -0.4*$F44, 0)</f>
        <v>0</v>
      </c>
      <c r="I44" s="330">
        <f>IF('Tillegg- Inndata Øvrige'!AD42="Ja", -1*$F44, 0)</f>
        <v>0</v>
      </c>
      <c r="J44" s="330">
        <f>'Tillegg- Inndata Øvrige'!O42*'Tillegg- Inndata Øvrige'!P42</f>
        <v>0</v>
      </c>
      <c r="K44" s="330">
        <f>MAX(-0.75*(SUM('Tillegg- Res. Det. Øvrige'!F44:J44)),-'Tillegg- Inndata Øvrige'!O42*'Tillegg- Inndata Øvrige'!Q42)</f>
        <v>0</v>
      </c>
      <c r="L44" s="330">
        <f>'Tillegg- Inndata Øvrige'!S42*'Tillegg- Inndata Øvrige'!T42</f>
        <v>0</v>
      </c>
      <c r="M44" s="330">
        <f>MAX(-0.75*(SUM('Tillegg- Res. Det. Øvrige'!F44:I44,L44)),-'Tillegg- Inndata Øvrige'!S42*'Tillegg- Inndata Øvrige'!U42)</f>
        <v>0</v>
      </c>
      <c r="N44" s="331">
        <f>'Tillegg- Inndata Øvrige'!F42</f>
        <v>0</v>
      </c>
      <c r="O44" s="330">
        <f>'Tillegg- Inndata Øvrige'!O42*'Tillegg- Inndata Øvrige'!R42</f>
        <v>0</v>
      </c>
      <c r="P44" s="332">
        <f>'Tillegg- Inndata Øvrige'!S42*'Tillegg- Inndata Øvrige'!V42</f>
        <v>0</v>
      </c>
      <c r="Q44" s="333">
        <f>SUM(F44:J44,L44)*'Tillegg- Inndata Øvrige'!K42</f>
        <v>0</v>
      </c>
      <c r="R44" s="333">
        <f>(K44+M44)*'Tillegg- Inndata Øvrige'!K42</f>
        <v>0</v>
      </c>
      <c r="S44" s="333">
        <f>SUM(N44:P44)*'Tillegg- Inndata Øvrige'!K42</f>
        <v>0</v>
      </c>
      <c r="T44" s="334">
        <f>('Tillegg- Inndata Øvrige'!G42+'Tillegg- Inndata Øvrige'!O42+'Tillegg- Inndata Øvrige'!S42)*'Tillegg- Inndata Øvrige'!K42*Transport_utslipp_til_avfallshånderting_per_kg</f>
        <v>0</v>
      </c>
      <c r="U44" s="330">
        <f>IF('Tillegg- Inndata Øvrige'!E42 = 0, 0, 1.833*'Tillegg- Inndata Øvrige'!X42*'Tillegg- Inndata Øvrige'!K42*('Tillegg- Inndata Øvrige'!G42*('Tillegg- Inndata Øvrige'!L42*0.5+'Tillegg- Inndata Øvrige'!M42*0.8) + (12/44)*('Tillegg- Inndata Øvrige'!O42*'Tillegg- Inndata Øvrige'!Q42+'Tillegg- Inndata Øvrige'!S42*'Tillegg- Inndata Øvrige'!U42)))</f>
        <v>0</v>
      </c>
      <c r="V44" s="335">
        <f>IF('Tillegg- Inndata Øvrige'!G42 = 0, 0,  MAX(-SUM(F44:J44,L44)*'Tillegg- Inndata Øvrige'!L42, -0.114*IF('Tillegg- Inndata Øvrige'!H42 &gt; 49, _xlfn.XLOOKUP(49, År_etter_ferdigstillelse, karbon_opptak_faktor), _xlfn.XLOOKUP('Tillegg- Inndata Øvrige'!H42, År_etter_ferdigstillelse, karbon_opptak_faktor))*'Tillegg- Inndata Øvrige'!G42*'Tillegg- Inndata Øvrige'!L42*0.5))</f>
        <v>0</v>
      </c>
      <c r="W44" s="333">
        <f>IF('Tillegg- Inndata Øvrige'!G42=0,0,IF('Tillegg- Inndata Øvrige'!H42&gt;49,-0.064*'Tillegg- Inndata Øvrige'!G42*'Tillegg- Inndata Øvrige'!N42,-0.037*'Tillegg- Inndata Øvrige'!J42*'Tillegg- Inndata Øvrige'!N42))</f>
        <v>0</v>
      </c>
      <c r="X44" s="331" cm="1">
        <f t="array" ref="X44">IF(SUM(F44:J44,L44)=0, 0, SUM(F44:J44,L44)*(1+'Tillegg-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Y44" s="330" cm="1">
        <f t="array" ref="Y44">IF(X44=0, 0, SUM(K44,M44)*(1+'Tillegg-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Z44" s="336" cm="1">
        <f t="array" ref="Z44">IF(X44=0, 0, SUM(N44:P44)*(1+'Tillegg-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A44" s="336" cm="1">
        <f t="array" ref="AA44">IF(X44=0, 0, ('Tillegg- Inndata Øvrige'!G42+'Tillegg- Inndata Øvrige'!O42+'Tillegg- Inndata Øvrige'!S42)*(1+'Tillegg- Inndata Øvrige'!K42)*Transport_utslipp_til_avfallshånderting_per_kg*IF('Tillegg-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B44" s="334" cm="1">
        <f t="array" ref="AB44">IF(X44=0, 0,1.833*'Tillegg- Inndata Øvrige'!J42*('Tillegg- Inndata Øvrige'!X42*_xlfn.XLOOKUP(IF('Tillegg- Inndata Øvrige'!I42&lt;2,'Tillegg- Inndata Øvrige'!H42,'Tillegg- Inndata Øvrige'!H42*2), År_etter_ferdigstillelse, Faktorer!$Z$7:$Z$58))*('Tillegg- Inndata Øvrige'!L42*0.5+'Tillegg- Inndata Øvrige'!M42*0.8)*_xlfn.XLOOKUP(IF('Tillegg- Inndata Øvrige'!I42&lt;2,'Tillegg- Inndata Øvrige'!H42,'Tillegg- Inndata Øvrige'!H42*2), År_etter_ferdigstillelse,  IF(LEFT('Tillegg- Inndata Øvrige'!B42, 2)= 49, f_tid_x_f_tek_d_0_037, f_tid_x_f_tek_d_0_01)))</f>
        <v>0</v>
      </c>
      <c r="AC44" s="335">
        <f>IF(('Tillegg- Inndata Øvrige'!G42) = 0, 0,('Tillegg- Inndata Øvrige'!G42*((AG44+AI44)*Transport_utslipp_til_avfallshånderting_per_kg)+('Tillegg- Inndata Øvrige'!Z42*'ZERO-B Beregning'!D144)*IF('ZERO-B Beregning'!F145=0,'ZERO-B Beregning'!D145,'ZERO-B Beregning'!F145))*_xlfn.XLOOKUP(51, År_etter_ferdigstillelse, f_tid_x_f_tek_d_0_01))</f>
        <v>0</v>
      </c>
      <c r="AD44" s="337">
        <f>IF(('Tillegg- Inndata Øvrige'!G42) = 0, 0,1.833*('Tillegg- Inndata Øvrige'!G42*('Tillegg- Inndata Øvrige'!L42*0.5+'Tillegg- Inndata Øvrige'!M42*0.8)*AG44*_xlfn.XLOOKUP(51, År_etter_ferdigstillelse,  f_tid_x_f_tek_d_0_01)))</f>
        <v>0</v>
      </c>
      <c r="AE44" s="333" cm="1">
        <f t="array" ref="AE44">IF(('Tillegg- Inndata Øvrige'!G42) = 0, 0,-0.8*('Tillegg- Inndata Øvrige'!G42)*AH44*('Tillegg- Inndata Øvrige'!E42/'Tillegg- Inndata Øvrige'!G42)*_xlfn.XLOOKUP(51, År_etter_ferdigstillelse,  IF(LEFT('Tillegg- Inndata Øvrige'!B42, 2)= 49, f_tid_x_f_tek_d_0_037, f_tid_x_f_tek_d_0_01)))</f>
        <v>0</v>
      </c>
      <c r="AF44" s="338" cm="1">
        <f t="array" ref="AF44">IF(('Tillegg- Inndata Øvrige'!G42) = 0, 0,-0.1*('Tillegg- Inndata Øvrige'!G42)*AI44*('Tillegg- Inndata Øvrige'!E42/'Tillegg- Inndata Øvrige'!G42)*_xlfn.XLOOKUP(51, År_etter_ferdigstillelse,  IF(LEFT('Tillegg- Inndata Øvrige'!B42, 2)= 49, f_tid_x_f_tek_d_0_037, f_tid_x_f_tek_d_0_01)))</f>
        <v>0</v>
      </c>
      <c r="AG44" s="572">
        <f>IF(('Tillegg- Inndata Øvrige'!G42) = 0, 0,'Tillegg- Inndata Øvrige'!X42*Faktorer!$Z$58)</f>
        <v>0</v>
      </c>
      <c r="AH44" s="573">
        <f>IF(('Tillegg- Inndata Øvrige'!G42) = 0, 0,'Tillegg- Inndata Øvrige'!Z42+('Tillegg- Inndata Øvrige'!X42+'Tillegg- Inndata Øvrige'!Y42)*(1-Faktorer!$Z$58)*0.5)</f>
        <v>0</v>
      </c>
      <c r="AI44" s="574">
        <f>IF(('Tillegg- Inndata Øvrige'!G42) = 0, 0,'Tillegg- Inndata Øvrige'!AA42+('Tillegg- Inndata Øvrige'!X42+'Tillegg- Inndata Øvrige'!Y42)*(1-Faktorer!$Z$58)*0.5)</f>
        <v>0</v>
      </c>
      <c r="AK44" s="90">
        <f t="shared" si="1"/>
        <v>0</v>
      </c>
      <c r="AL44" s="91">
        <f>'Tillegg- Res. Det. Øvrige'!N44</f>
        <v>0</v>
      </c>
      <c r="AM44" s="91" t="str">
        <f>IF(F44=0,"",('Tillegg- Inndata Øvrige'!E44+'Tillegg- Inndata Øvrige'!F44)*ROUNDDOWN('Tillegg- Inndata Øvrige'!I44,0)*(1+'Tillegg- Inndata Øvrige'!K44))</f>
        <v/>
      </c>
      <c r="AO44" s="1"/>
    </row>
    <row r="45" spans="2:41">
      <c r="B45" s="327">
        <f>'Tillegg- Inndata Øvrige'!B43</f>
        <v>0</v>
      </c>
      <c r="C45" s="327">
        <f>'Tillegg- Inndata Øvrige'!C43</f>
        <v>0</v>
      </c>
      <c r="D45" s="327">
        <f>'Tillegg- Inndata Øvrige'!D43</f>
        <v>0</v>
      </c>
      <c r="E45" s="421" cm="1">
        <f t="array" ref="E45">SUM(IFERROR(F45:AF45,0))</f>
        <v>0</v>
      </c>
      <c r="F45" s="330">
        <f>'Tillegg- Inndata Øvrige'!E43</f>
        <v>0</v>
      </c>
      <c r="G45" s="330">
        <f>IF('Tillegg- Inndata Øvrige'!AB43="Ja", -0.8*$F45, 0)</f>
        <v>0</v>
      </c>
      <c r="H45" s="330">
        <f>IF('Tillegg- Inndata Øvrige'!AC43="Ja", -0.4*$F45, 0)</f>
        <v>0</v>
      </c>
      <c r="I45" s="330">
        <f>IF('Tillegg- Inndata Øvrige'!AD43="Ja", -1*$F45, 0)</f>
        <v>0</v>
      </c>
      <c r="J45" s="330">
        <f>'Tillegg- Inndata Øvrige'!O43*'Tillegg- Inndata Øvrige'!P43</f>
        <v>0</v>
      </c>
      <c r="K45" s="330">
        <f>MAX(-0.75*(SUM('Tillegg- Res. Det. Øvrige'!F45:J45)),-'Tillegg- Inndata Øvrige'!O43*'Tillegg- Inndata Øvrige'!Q43)</f>
        <v>0</v>
      </c>
      <c r="L45" s="330">
        <f>'Tillegg- Inndata Øvrige'!S43*'Tillegg- Inndata Øvrige'!T43</f>
        <v>0</v>
      </c>
      <c r="M45" s="330">
        <f>MAX(-0.75*(SUM('Tillegg- Res. Det. Øvrige'!F45:I45,L45)),-'Tillegg- Inndata Øvrige'!S43*'Tillegg- Inndata Øvrige'!U43)</f>
        <v>0</v>
      </c>
      <c r="N45" s="331">
        <f>'Tillegg- Inndata Øvrige'!F43</f>
        <v>0</v>
      </c>
      <c r="O45" s="330">
        <f>'Tillegg- Inndata Øvrige'!O43*'Tillegg- Inndata Øvrige'!R43</f>
        <v>0</v>
      </c>
      <c r="P45" s="332">
        <f>'Tillegg- Inndata Øvrige'!S43*'Tillegg- Inndata Øvrige'!V43</f>
        <v>0</v>
      </c>
      <c r="Q45" s="333">
        <f>SUM(F45:J45,L45)*'Tillegg- Inndata Øvrige'!K43</f>
        <v>0</v>
      </c>
      <c r="R45" s="333">
        <f>(K45+M45)*'Tillegg- Inndata Øvrige'!K43</f>
        <v>0</v>
      </c>
      <c r="S45" s="333">
        <f>SUM(N45:P45)*'Tillegg- Inndata Øvrige'!K43</f>
        <v>0</v>
      </c>
      <c r="T45" s="334">
        <f>('Tillegg- Inndata Øvrige'!G43+'Tillegg- Inndata Øvrige'!O43+'Tillegg- Inndata Øvrige'!S43)*'Tillegg- Inndata Øvrige'!K43*Transport_utslipp_til_avfallshånderting_per_kg</f>
        <v>0</v>
      </c>
      <c r="U45" s="330">
        <f>IF('Tillegg- Inndata Øvrige'!E43 = 0, 0, 1.833*'Tillegg- Inndata Øvrige'!X43*'Tillegg- Inndata Øvrige'!K43*('Tillegg- Inndata Øvrige'!G43*('Tillegg- Inndata Øvrige'!L43*0.5+'Tillegg- Inndata Øvrige'!M43*0.8) + (12/44)*('Tillegg- Inndata Øvrige'!O43*'Tillegg- Inndata Øvrige'!Q43+'Tillegg- Inndata Øvrige'!S43*'Tillegg- Inndata Øvrige'!U43)))</f>
        <v>0</v>
      </c>
      <c r="V45" s="335">
        <f>IF('Tillegg- Inndata Øvrige'!G43 = 0, 0,  MAX(-SUM(F45:J45,L45)*'Tillegg- Inndata Øvrige'!L43, -0.114*IF('Tillegg- Inndata Øvrige'!H43 &gt; 49, _xlfn.XLOOKUP(49, År_etter_ferdigstillelse, karbon_opptak_faktor), _xlfn.XLOOKUP('Tillegg- Inndata Øvrige'!H43, År_etter_ferdigstillelse, karbon_opptak_faktor))*'Tillegg- Inndata Øvrige'!G43*'Tillegg- Inndata Øvrige'!L43*0.5))</f>
        <v>0</v>
      </c>
      <c r="W45" s="333">
        <f>IF('Tillegg- Inndata Øvrige'!G43=0,0,IF('Tillegg- Inndata Øvrige'!H43&gt;49,-0.064*'Tillegg- Inndata Øvrige'!G43*'Tillegg- Inndata Øvrige'!N43,-0.037*'Tillegg- Inndata Øvrige'!J43*'Tillegg- Inndata Øvrige'!N43))</f>
        <v>0</v>
      </c>
      <c r="X45" s="331" cm="1">
        <f t="array" ref="X45">IF(SUM(F45:J45,L45)=0, 0, SUM(F45:J45,L45)*(1+'Tillegg-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Y45" s="330" cm="1">
        <f t="array" ref="Y45">IF(X45=0, 0, SUM(K45,M45)*(1+'Tillegg-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Z45" s="336" cm="1">
        <f t="array" ref="Z45">IF(X45=0, 0, SUM(N45:P45)*(1+'Tillegg-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A45" s="336" cm="1">
        <f t="array" ref="AA45">IF(X45=0, 0, ('Tillegg- Inndata Øvrige'!G43+'Tillegg- Inndata Øvrige'!O43+'Tillegg- Inndata Øvrige'!S43)*(1+'Tillegg- Inndata Øvrige'!K43)*Transport_utslipp_til_avfallshånderting_per_kg*IF('Tillegg-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B45" s="334" cm="1">
        <f t="array" ref="AB45">IF(X45=0, 0,1.833*'Tillegg- Inndata Øvrige'!J43*('Tillegg- Inndata Øvrige'!X43*_xlfn.XLOOKUP(IF('Tillegg- Inndata Øvrige'!I43&lt;2,'Tillegg- Inndata Øvrige'!H43,'Tillegg- Inndata Øvrige'!H43*2), År_etter_ferdigstillelse, Faktorer!$Z$7:$Z$58))*('Tillegg- Inndata Øvrige'!L43*0.5+'Tillegg- Inndata Øvrige'!M43*0.8)*_xlfn.XLOOKUP(IF('Tillegg- Inndata Øvrige'!I43&lt;2,'Tillegg- Inndata Øvrige'!H43,'Tillegg- Inndata Øvrige'!H43*2), År_etter_ferdigstillelse,  IF(LEFT('Tillegg- Inndata Øvrige'!B43, 2)= 49, f_tid_x_f_tek_d_0_037, f_tid_x_f_tek_d_0_01)))</f>
        <v>0</v>
      </c>
      <c r="AC45" s="335">
        <f>IF(('Tillegg- Inndata Øvrige'!G43) = 0, 0,('Tillegg- Inndata Øvrige'!G43*((AG45+AI45)*Transport_utslipp_til_avfallshånderting_per_kg)+('Tillegg- Inndata Øvrige'!Z43*'ZERO-B Beregning'!D145)*IF('ZERO-B Beregning'!F146=0,'ZERO-B Beregning'!D146,'ZERO-B Beregning'!F146))*_xlfn.XLOOKUP(51, År_etter_ferdigstillelse, f_tid_x_f_tek_d_0_01))</f>
        <v>0</v>
      </c>
      <c r="AD45" s="337">
        <f>IF(('Tillegg- Inndata Øvrige'!G43) = 0, 0,1.833*('Tillegg- Inndata Øvrige'!G43*('Tillegg- Inndata Øvrige'!L43*0.5+'Tillegg- Inndata Øvrige'!M43*0.8)*AG45*_xlfn.XLOOKUP(51, År_etter_ferdigstillelse,  f_tid_x_f_tek_d_0_01)))</f>
        <v>0</v>
      </c>
      <c r="AE45" s="333" cm="1">
        <f t="array" ref="AE45">IF(('Tillegg- Inndata Øvrige'!G43) = 0, 0,-0.8*('Tillegg- Inndata Øvrige'!G43)*AH45*('Tillegg- Inndata Øvrige'!E43/'Tillegg- Inndata Øvrige'!G43)*_xlfn.XLOOKUP(51, År_etter_ferdigstillelse,  IF(LEFT('Tillegg- Inndata Øvrige'!B43, 2)= 49, f_tid_x_f_tek_d_0_037, f_tid_x_f_tek_d_0_01)))</f>
        <v>0</v>
      </c>
      <c r="AF45" s="338" cm="1">
        <f t="array" ref="AF45">IF(('Tillegg- Inndata Øvrige'!G43) = 0, 0,-0.1*('Tillegg- Inndata Øvrige'!G43)*AI45*('Tillegg- Inndata Øvrige'!E43/'Tillegg- Inndata Øvrige'!G43)*_xlfn.XLOOKUP(51, År_etter_ferdigstillelse,  IF(LEFT('Tillegg- Inndata Øvrige'!B43, 2)= 49, f_tid_x_f_tek_d_0_037, f_tid_x_f_tek_d_0_01)))</f>
        <v>0</v>
      </c>
      <c r="AG45" s="572">
        <f>IF(('Tillegg- Inndata Øvrige'!G43) = 0, 0,'Tillegg- Inndata Øvrige'!X43*Faktorer!$Z$58)</f>
        <v>0</v>
      </c>
      <c r="AH45" s="573">
        <f>IF(('Tillegg- Inndata Øvrige'!G43) = 0, 0,'Tillegg- Inndata Øvrige'!Z43+('Tillegg- Inndata Øvrige'!X43+'Tillegg- Inndata Øvrige'!Y43)*(1-Faktorer!$Z$58)*0.5)</f>
        <v>0</v>
      </c>
      <c r="AI45" s="574">
        <f>IF(('Tillegg- Inndata Øvrige'!G43) = 0, 0,'Tillegg- Inndata Øvrige'!AA43+('Tillegg- Inndata Øvrige'!X43+'Tillegg- Inndata Øvrige'!Y43)*(1-Faktorer!$Z$58)*0.5)</f>
        <v>0</v>
      </c>
      <c r="AK45" s="90">
        <f t="shared" si="1"/>
        <v>0</v>
      </c>
      <c r="AL45" s="91">
        <f>'Tillegg- Res. Det. Øvrige'!N45</f>
        <v>0</v>
      </c>
      <c r="AM45" s="91" t="str">
        <f>IF(F45=0,"",('Tillegg- Inndata Øvrige'!E45+'Tillegg- Inndata Øvrige'!F45)*ROUNDDOWN('Tillegg- Inndata Øvrige'!I45,0)*(1+'Tillegg- Inndata Øvrige'!K45))</f>
        <v/>
      </c>
      <c r="AO45" s="1"/>
    </row>
    <row r="46" spans="2:41">
      <c r="B46" s="327">
        <f>'Tillegg- Inndata Øvrige'!B44</f>
        <v>0</v>
      </c>
      <c r="C46" s="327">
        <f>'Tillegg- Inndata Øvrige'!C44</f>
        <v>0</v>
      </c>
      <c r="D46" s="327">
        <f>'Tillegg- Inndata Øvrige'!D44</f>
        <v>0</v>
      </c>
      <c r="E46" s="421" cm="1">
        <f t="array" ref="E46">SUM(IFERROR(F46:AF46,0))</f>
        <v>0</v>
      </c>
      <c r="F46" s="330">
        <f>'Tillegg- Inndata Øvrige'!E44</f>
        <v>0</v>
      </c>
      <c r="G46" s="330">
        <f>IF('Tillegg- Inndata Øvrige'!AB44="Ja", -0.8*$F46, 0)</f>
        <v>0</v>
      </c>
      <c r="H46" s="330">
        <f>IF('Tillegg- Inndata Øvrige'!AC44="Ja", -0.4*$F46, 0)</f>
        <v>0</v>
      </c>
      <c r="I46" s="330">
        <f>IF('Tillegg- Inndata Øvrige'!AD44="Ja", -1*$F46, 0)</f>
        <v>0</v>
      </c>
      <c r="J46" s="330">
        <f>'Tillegg- Inndata Øvrige'!O44*'Tillegg- Inndata Øvrige'!P44</f>
        <v>0</v>
      </c>
      <c r="K46" s="330">
        <f>MAX(-0.75*(SUM('Tillegg- Res. Det. Øvrige'!F46:J46)),-'Tillegg- Inndata Øvrige'!O44*'Tillegg- Inndata Øvrige'!Q44)</f>
        <v>0</v>
      </c>
      <c r="L46" s="330">
        <f>'Tillegg- Inndata Øvrige'!S44*'Tillegg- Inndata Øvrige'!T44</f>
        <v>0</v>
      </c>
      <c r="M46" s="330">
        <f>MAX(-0.75*(SUM('Tillegg- Res. Det. Øvrige'!F46:I46,L46)),-'Tillegg- Inndata Øvrige'!S44*'Tillegg- Inndata Øvrige'!U44)</f>
        <v>0</v>
      </c>
      <c r="N46" s="331">
        <f>'Tillegg- Inndata Øvrige'!F44</f>
        <v>0</v>
      </c>
      <c r="O46" s="330">
        <f>'Tillegg- Inndata Øvrige'!O44*'Tillegg- Inndata Øvrige'!R44</f>
        <v>0</v>
      </c>
      <c r="P46" s="332">
        <f>'Tillegg- Inndata Øvrige'!S44*'Tillegg- Inndata Øvrige'!V44</f>
        <v>0</v>
      </c>
      <c r="Q46" s="333">
        <f>SUM(F46:J46,L46)*'Tillegg- Inndata Øvrige'!K44</f>
        <v>0</v>
      </c>
      <c r="R46" s="333">
        <f>(K46+M46)*'Tillegg- Inndata Øvrige'!K44</f>
        <v>0</v>
      </c>
      <c r="S46" s="333">
        <f>SUM(N46:P46)*'Tillegg- Inndata Øvrige'!K44</f>
        <v>0</v>
      </c>
      <c r="T46" s="334">
        <f>('Tillegg- Inndata Øvrige'!G44+'Tillegg- Inndata Øvrige'!O44+'Tillegg- Inndata Øvrige'!S44)*'Tillegg- Inndata Øvrige'!K44*Transport_utslipp_til_avfallshånderting_per_kg</f>
        <v>0</v>
      </c>
      <c r="U46" s="330">
        <f>IF('Tillegg- Inndata Øvrige'!E44 = 0, 0, 1.833*'Tillegg- Inndata Øvrige'!X44*'Tillegg- Inndata Øvrige'!K44*('Tillegg- Inndata Øvrige'!G44*('Tillegg- Inndata Øvrige'!L44*0.5+'Tillegg- Inndata Øvrige'!M44*0.8) + (12/44)*('Tillegg- Inndata Øvrige'!O44*'Tillegg- Inndata Øvrige'!Q44+'Tillegg- Inndata Øvrige'!S44*'Tillegg- Inndata Øvrige'!U44)))</f>
        <v>0</v>
      </c>
      <c r="V46" s="335">
        <f>IF('Tillegg- Inndata Øvrige'!G44 = 0, 0,  MAX(-SUM(F46:J46,L46)*'Tillegg- Inndata Øvrige'!L44, -0.114*IF('Tillegg- Inndata Øvrige'!H44 &gt; 49, _xlfn.XLOOKUP(49, År_etter_ferdigstillelse, karbon_opptak_faktor), _xlfn.XLOOKUP('Tillegg- Inndata Øvrige'!H44, År_etter_ferdigstillelse, karbon_opptak_faktor))*'Tillegg- Inndata Øvrige'!G44*'Tillegg- Inndata Øvrige'!L44*0.5))</f>
        <v>0</v>
      </c>
      <c r="W46" s="333">
        <f>IF('Tillegg- Inndata Øvrige'!G44=0,0,IF('Tillegg- Inndata Øvrige'!H44&gt;49,-0.064*'Tillegg- Inndata Øvrige'!G44*'Tillegg- Inndata Øvrige'!N44,-0.037*'Tillegg- Inndata Øvrige'!J44*'Tillegg- Inndata Øvrige'!N44))</f>
        <v>0</v>
      </c>
      <c r="X46" s="331" cm="1">
        <f t="array" ref="X46">IF(SUM(F46:J46,L46)=0, 0, SUM(F46:J46,L46)*(1+'Tillegg-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Y46" s="330" cm="1">
        <f t="array" ref="Y46">IF(X46=0, 0, SUM(K46,M46)*(1+'Tillegg-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Z46" s="336" cm="1">
        <f t="array" ref="Z46">IF(X46=0, 0, SUM(N46:P46)*(1+'Tillegg-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A46" s="336" cm="1">
        <f t="array" ref="AA46">IF(X46=0, 0, ('Tillegg- Inndata Øvrige'!G44+'Tillegg- Inndata Øvrige'!O44+'Tillegg- Inndata Øvrige'!S44)*(1+'Tillegg- Inndata Øvrige'!K44)*Transport_utslipp_til_avfallshånderting_per_kg*IF('Tillegg-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B46" s="334" cm="1">
        <f t="array" ref="AB46">IF(X46=0, 0,1.833*'Tillegg- Inndata Øvrige'!J44*('Tillegg- Inndata Øvrige'!X44*_xlfn.XLOOKUP(IF('Tillegg- Inndata Øvrige'!I44&lt;2,'Tillegg- Inndata Øvrige'!H44,'Tillegg- Inndata Øvrige'!H44*2), År_etter_ferdigstillelse, Faktorer!$Z$7:$Z$58))*('Tillegg- Inndata Øvrige'!L44*0.5+'Tillegg- Inndata Øvrige'!M44*0.8)*_xlfn.XLOOKUP(IF('Tillegg- Inndata Øvrige'!I44&lt;2,'Tillegg- Inndata Øvrige'!H44,'Tillegg- Inndata Øvrige'!H44*2), År_etter_ferdigstillelse,  IF(LEFT('Tillegg- Inndata Øvrige'!B44, 2)= 49, f_tid_x_f_tek_d_0_037, f_tid_x_f_tek_d_0_01)))</f>
        <v>0</v>
      </c>
      <c r="AC46" s="335">
        <f>IF(('Tillegg- Inndata Øvrige'!G44) = 0, 0,('Tillegg- Inndata Øvrige'!G44*((AG46+AI46)*Transport_utslipp_til_avfallshånderting_per_kg)+('Tillegg- Inndata Øvrige'!Z44*'ZERO-B Beregning'!D146)*IF('ZERO-B Beregning'!F147=0,'ZERO-B Beregning'!D147,'ZERO-B Beregning'!F147))*_xlfn.XLOOKUP(51, År_etter_ferdigstillelse, f_tid_x_f_tek_d_0_01))</f>
        <v>0</v>
      </c>
      <c r="AD46" s="337">
        <f>IF(('Tillegg- Inndata Øvrige'!G44) = 0, 0,1.833*('Tillegg- Inndata Øvrige'!G44*('Tillegg- Inndata Øvrige'!L44*0.5+'Tillegg- Inndata Øvrige'!M44*0.8)*AG46*_xlfn.XLOOKUP(51, År_etter_ferdigstillelse,  f_tid_x_f_tek_d_0_01)))</f>
        <v>0</v>
      </c>
      <c r="AE46" s="333" cm="1">
        <f t="array" ref="AE46">IF(('Tillegg- Inndata Øvrige'!G44) = 0, 0,-0.8*('Tillegg- Inndata Øvrige'!G44)*AH46*('Tillegg- Inndata Øvrige'!E44/'Tillegg- Inndata Øvrige'!G44)*_xlfn.XLOOKUP(51, År_etter_ferdigstillelse,  IF(LEFT('Tillegg- Inndata Øvrige'!B44, 2)= 49, f_tid_x_f_tek_d_0_037, f_tid_x_f_tek_d_0_01)))</f>
        <v>0</v>
      </c>
      <c r="AF46" s="338" cm="1">
        <f t="array" ref="AF46">IF(('Tillegg- Inndata Øvrige'!G44) = 0, 0,-0.1*('Tillegg- Inndata Øvrige'!G44)*AI46*('Tillegg- Inndata Øvrige'!E44/'Tillegg- Inndata Øvrige'!G44)*_xlfn.XLOOKUP(51, År_etter_ferdigstillelse,  IF(LEFT('Tillegg- Inndata Øvrige'!B44, 2)= 49, f_tid_x_f_tek_d_0_037, f_tid_x_f_tek_d_0_01)))</f>
        <v>0</v>
      </c>
      <c r="AG46" s="572">
        <f>IF(('Tillegg- Inndata Øvrige'!G44) = 0, 0,'Tillegg- Inndata Øvrige'!X44*Faktorer!$Z$58)</f>
        <v>0</v>
      </c>
      <c r="AH46" s="573">
        <f>IF(('Tillegg- Inndata Øvrige'!G44) = 0, 0,'Tillegg- Inndata Øvrige'!Z44+('Tillegg- Inndata Øvrige'!X44+'Tillegg- Inndata Øvrige'!Y44)*(1-Faktorer!$Z$58)*0.5)</f>
        <v>0</v>
      </c>
      <c r="AI46" s="574">
        <f>IF(('Tillegg- Inndata Øvrige'!G44) = 0, 0,'Tillegg- Inndata Øvrige'!AA44+('Tillegg- Inndata Øvrige'!X44+'Tillegg- Inndata Øvrige'!Y44)*(1-Faktorer!$Z$58)*0.5)</f>
        <v>0</v>
      </c>
      <c r="AK46" s="90">
        <f t="shared" si="1"/>
        <v>0</v>
      </c>
      <c r="AL46" s="91">
        <f>'Tillegg- Res. Det. Øvrige'!N46</f>
        <v>0</v>
      </c>
      <c r="AM46" s="91" t="str">
        <f>IF(F46=0,"",('Tillegg- Inndata Øvrige'!E46+'Tillegg- Inndata Øvrige'!F46)*ROUNDDOWN('Tillegg- Inndata Øvrige'!I46,0)*(1+'Tillegg- Inndata Øvrige'!K46))</f>
        <v/>
      </c>
      <c r="AO46" s="1"/>
    </row>
    <row r="47" spans="2:41">
      <c r="B47" s="327">
        <f>'Tillegg- Inndata Øvrige'!B45</f>
        <v>0</v>
      </c>
      <c r="C47" s="327">
        <f>'Tillegg- Inndata Øvrige'!C45</f>
        <v>0</v>
      </c>
      <c r="D47" s="327">
        <f>'Tillegg- Inndata Øvrige'!D45</f>
        <v>0</v>
      </c>
      <c r="E47" s="421" cm="1">
        <f t="array" ref="E47">SUM(IFERROR(F47:AF47,0))</f>
        <v>0</v>
      </c>
      <c r="F47" s="330">
        <f>'Tillegg- Inndata Øvrige'!E45</f>
        <v>0</v>
      </c>
      <c r="G47" s="330">
        <f>IF('Tillegg- Inndata Øvrige'!AB45="Ja", -0.8*$F47, 0)</f>
        <v>0</v>
      </c>
      <c r="H47" s="330">
        <f>IF('Tillegg- Inndata Øvrige'!AC45="Ja", -0.4*$F47, 0)</f>
        <v>0</v>
      </c>
      <c r="I47" s="330">
        <f>IF('Tillegg- Inndata Øvrige'!AD45="Ja", -1*$F47, 0)</f>
        <v>0</v>
      </c>
      <c r="J47" s="330">
        <f>'Tillegg- Inndata Øvrige'!O45*'Tillegg- Inndata Øvrige'!P45</f>
        <v>0</v>
      </c>
      <c r="K47" s="330">
        <f>MAX(-0.75*(SUM('Tillegg- Res. Det. Øvrige'!F47:J47)),-'Tillegg- Inndata Øvrige'!O45*'Tillegg- Inndata Øvrige'!Q45)</f>
        <v>0</v>
      </c>
      <c r="L47" s="330">
        <f>'Tillegg- Inndata Øvrige'!S45*'Tillegg- Inndata Øvrige'!T45</f>
        <v>0</v>
      </c>
      <c r="M47" s="330">
        <f>MAX(-0.75*(SUM('Tillegg- Res. Det. Øvrige'!F47:I47,L47)),-'Tillegg- Inndata Øvrige'!S45*'Tillegg- Inndata Øvrige'!U45)</f>
        <v>0</v>
      </c>
      <c r="N47" s="331">
        <f>'Tillegg- Inndata Øvrige'!F45</f>
        <v>0</v>
      </c>
      <c r="O47" s="330">
        <f>'Tillegg- Inndata Øvrige'!O45*'Tillegg- Inndata Øvrige'!R45</f>
        <v>0</v>
      </c>
      <c r="P47" s="332">
        <f>'Tillegg- Inndata Øvrige'!S45*'Tillegg- Inndata Øvrige'!V45</f>
        <v>0</v>
      </c>
      <c r="Q47" s="333">
        <f>SUM(F47:J47,L47)*'Tillegg- Inndata Øvrige'!K45</f>
        <v>0</v>
      </c>
      <c r="R47" s="333">
        <f>(K47+M47)*'Tillegg- Inndata Øvrige'!K45</f>
        <v>0</v>
      </c>
      <c r="S47" s="333">
        <f>SUM(N47:P47)*'Tillegg- Inndata Øvrige'!K45</f>
        <v>0</v>
      </c>
      <c r="T47" s="334">
        <f>('Tillegg- Inndata Øvrige'!G45+'Tillegg- Inndata Øvrige'!O45+'Tillegg- Inndata Øvrige'!S45)*'Tillegg- Inndata Øvrige'!K45*Transport_utslipp_til_avfallshånderting_per_kg</f>
        <v>0</v>
      </c>
      <c r="U47" s="330">
        <f>IF('Tillegg- Inndata Øvrige'!E45 = 0, 0, 1.833*'Tillegg- Inndata Øvrige'!X45*'Tillegg- Inndata Øvrige'!K45*('Tillegg- Inndata Øvrige'!G45*('Tillegg- Inndata Øvrige'!L45*0.5+'Tillegg- Inndata Øvrige'!M45*0.8) + (12/44)*('Tillegg- Inndata Øvrige'!O45*'Tillegg- Inndata Øvrige'!Q45+'Tillegg- Inndata Øvrige'!S45*'Tillegg- Inndata Øvrige'!U45)))</f>
        <v>0</v>
      </c>
      <c r="V47" s="335">
        <f>IF('Tillegg- Inndata Øvrige'!G45 = 0, 0,  MAX(-SUM(F47:J47,L47)*'Tillegg- Inndata Øvrige'!L45, -0.114*IF('Tillegg- Inndata Øvrige'!H45 &gt; 49, _xlfn.XLOOKUP(49, År_etter_ferdigstillelse, karbon_opptak_faktor), _xlfn.XLOOKUP('Tillegg- Inndata Øvrige'!H45, År_etter_ferdigstillelse, karbon_opptak_faktor))*'Tillegg- Inndata Øvrige'!G45*'Tillegg- Inndata Øvrige'!L45*0.5))</f>
        <v>0</v>
      </c>
      <c r="W47" s="333">
        <f>IF('Tillegg- Inndata Øvrige'!G45=0,0,IF('Tillegg- Inndata Øvrige'!H45&gt;49,-0.064*'Tillegg- Inndata Øvrige'!G45*'Tillegg- Inndata Øvrige'!N45,-0.037*'Tillegg- Inndata Øvrige'!J45*'Tillegg- Inndata Øvrige'!N45))</f>
        <v>0</v>
      </c>
      <c r="X47" s="331" cm="1">
        <f t="array" ref="X47">IF(SUM(F47:J47,L47)=0, 0, SUM(F47:J47,L47)*(1+'Tillegg-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Y47" s="330" cm="1">
        <f t="array" ref="Y47">IF(X47=0, 0, SUM(K47,M47)*(1+'Tillegg-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Z47" s="336" cm="1">
        <f t="array" ref="Z47">IF(X47=0, 0, SUM(N47:P47)*(1+'Tillegg-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A47" s="336" cm="1">
        <f t="array" ref="AA47">IF(X47=0, 0, ('Tillegg- Inndata Øvrige'!G45+'Tillegg- Inndata Øvrige'!O45+'Tillegg- Inndata Øvrige'!S45)*(1+'Tillegg- Inndata Øvrige'!K45)*Transport_utslipp_til_avfallshånderting_per_kg*IF('Tillegg-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B47" s="334" cm="1">
        <f t="array" ref="AB47">IF(X47=0, 0,1.833*'Tillegg- Inndata Øvrige'!J45*('Tillegg- Inndata Øvrige'!X45*_xlfn.XLOOKUP(IF('Tillegg- Inndata Øvrige'!I45&lt;2,'Tillegg- Inndata Øvrige'!H45,'Tillegg- Inndata Øvrige'!H45*2), År_etter_ferdigstillelse, Faktorer!$Z$7:$Z$58))*('Tillegg- Inndata Øvrige'!L45*0.5+'Tillegg- Inndata Øvrige'!M45*0.8)*_xlfn.XLOOKUP(IF('Tillegg- Inndata Øvrige'!I45&lt;2,'Tillegg- Inndata Øvrige'!H45,'Tillegg- Inndata Øvrige'!H45*2), År_etter_ferdigstillelse,  IF(LEFT('Tillegg- Inndata Øvrige'!B45, 2)= 49, f_tid_x_f_tek_d_0_037, f_tid_x_f_tek_d_0_01)))</f>
        <v>0</v>
      </c>
      <c r="AC47" s="335">
        <f>IF(('Tillegg- Inndata Øvrige'!G45) = 0, 0,('Tillegg- Inndata Øvrige'!G45*((AG47+AI47)*Transport_utslipp_til_avfallshånderting_per_kg)+('Tillegg- Inndata Øvrige'!Z45*'ZERO-B Beregning'!D147)*IF('ZERO-B Beregning'!F148=0,'ZERO-B Beregning'!D148,'ZERO-B Beregning'!F148))*_xlfn.XLOOKUP(51, År_etter_ferdigstillelse, f_tid_x_f_tek_d_0_01))</f>
        <v>0</v>
      </c>
      <c r="AD47" s="337">
        <f>IF(('Tillegg- Inndata Øvrige'!G45) = 0, 0,1.833*('Tillegg- Inndata Øvrige'!G45*('Tillegg- Inndata Øvrige'!L45*0.5+'Tillegg- Inndata Øvrige'!M45*0.8)*AG47*_xlfn.XLOOKUP(51, År_etter_ferdigstillelse,  f_tid_x_f_tek_d_0_01)))</f>
        <v>0</v>
      </c>
      <c r="AE47" s="333" cm="1">
        <f t="array" ref="AE47">IF(('Tillegg- Inndata Øvrige'!G45) = 0, 0,-0.8*('Tillegg- Inndata Øvrige'!G45)*AH47*('Tillegg- Inndata Øvrige'!E45/'Tillegg- Inndata Øvrige'!G45)*_xlfn.XLOOKUP(51, År_etter_ferdigstillelse,  IF(LEFT('Tillegg- Inndata Øvrige'!B45, 2)= 49, f_tid_x_f_tek_d_0_037, f_tid_x_f_tek_d_0_01)))</f>
        <v>0</v>
      </c>
      <c r="AF47" s="338" cm="1">
        <f t="array" ref="AF47">IF(('Tillegg- Inndata Øvrige'!G45) = 0, 0,-0.1*('Tillegg- Inndata Øvrige'!G45)*AI47*('Tillegg- Inndata Øvrige'!E45/'Tillegg- Inndata Øvrige'!G45)*_xlfn.XLOOKUP(51, År_etter_ferdigstillelse,  IF(LEFT('Tillegg- Inndata Øvrige'!B45, 2)= 49, f_tid_x_f_tek_d_0_037, f_tid_x_f_tek_d_0_01)))</f>
        <v>0</v>
      </c>
      <c r="AG47" s="572">
        <f>IF(('Tillegg- Inndata Øvrige'!G45) = 0, 0,'Tillegg- Inndata Øvrige'!X45*Faktorer!$Z$58)</f>
        <v>0</v>
      </c>
      <c r="AH47" s="573">
        <f>IF(('Tillegg- Inndata Øvrige'!G45) = 0, 0,'Tillegg- Inndata Øvrige'!Z45+('Tillegg- Inndata Øvrige'!X45+'Tillegg- Inndata Øvrige'!Y45)*(1-Faktorer!$Z$58)*0.5)</f>
        <v>0</v>
      </c>
      <c r="AI47" s="574">
        <f>IF(('Tillegg- Inndata Øvrige'!G45) = 0, 0,'Tillegg- Inndata Øvrige'!AA45+('Tillegg- Inndata Øvrige'!X45+'Tillegg- Inndata Øvrige'!Y45)*(1-Faktorer!$Z$58)*0.5)</f>
        <v>0</v>
      </c>
      <c r="AK47" s="90">
        <f t="shared" si="1"/>
        <v>0</v>
      </c>
      <c r="AL47" s="91">
        <f>'Tillegg- Res. Det. Øvrige'!N47</f>
        <v>0</v>
      </c>
      <c r="AM47" s="91" t="str">
        <f>IF(F47=0,"",('Tillegg- Inndata Øvrige'!E47+'Tillegg- Inndata Øvrige'!F47)*ROUNDDOWN('Tillegg- Inndata Øvrige'!I47,0)*(1+'Tillegg- Inndata Øvrige'!K47))</f>
        <v/>
      </c>
      <c r="AO47" s="1"/>
    </row>
    <row r="48" spans="2:41">
      <c r="B48" s="327">
        <f>'Tillegg- Inndata Øvrige'!B46</f>
        <v>0</v>
      </c>
      <c r="C48" s="327">
        <f>'Tillegg- Inndata Øvrige'!C46</f>
        <v>0</v>
      </c>
      <c r="D48" s="327">
        <f>'Tillegg- Inndata Øvrige'!D46</f>
        <v>0</v>
      </c>
      <c r="E48" s="421" cm="1">
        <f t="array" ref="E48">SUM(IFERROR(F48:AF48,0))</f>
        <v>0</v>
      </c>
      <c r="F48" s="330">
        <f>'Tillegg- Inndata Øvrige'!E46</f>
        <v>0</v>
      </c>
      <c r="G48" s="330">
        <f>IF('Tillegg- Inndata Øvrige'!AB46="Ja", -0.8*$F48, 0)</f>
        <v>0</v>
      </c>
      <c r="H48" s="330">
        <f>IF('Tillegg- Inndata Øvrige'!AC46="Ja", -0.4*$F48, 0)</f>
        <v>0</v>
      </c>
      <c r="I48" s="330">
        <f>IF('Tillegg- Inndata Øvrige'!AD46="Ja", -1*$F48, 0)</f>
        <v>0</v>
      </c>
      <c r="J48" s="330">
        <f>'Tillegg- Inndata Øvrige'!O46*'Tillegg- Inndata Øvrige'!P46</f>
        <v>0</v>
      </c>
      <c r="K48" s="330">
        <f>MAX(-0.75*(SUM('Tillegg- Res. Det. Øvrige'!F48:J48)),-'Tillegg- Inndata Øvrige'!O46*'Tillegg- Inndata Øvrige'!Q46)</f>
        <v>0</v>
      </c>
      <c r="L48" s="330">
        <f>'Tillegg- Inndata Øvrige'!S46*'Tillegg- Inndata Øvrige'!T46</f>
        <v>0</v>
      </c>
      <c r="M48" s="330">
        <f>MAX(-0.75*(SUM('Tillegg- Res. Det. Øvrige'!F48:I48,L48)),-'Tillegg- Inndata Øvrige'!S46*'Tillegg- Inndata Øvrige'!U46)</f>
        <v>0</v>
      </c>
      <c r="N48" s="331">
        <f>'Tillegg- Inndata Øvrige'!F46</f>
        <v>0</v>
      </c>
      <c r="O48" s="330">
        <f>'Tillegg- Inndata Øvrige'!O46*'Tillegg- Inndata Øvrige'!R46</f>
        <v>0</v>
      </c>
      <c r="P48" s="332">
        <f>'Tillegg- Inndata Øvrige'!S46*'Tillegg- Inndata Øvrige'!V46</f>
        <v>0</v>
      </c>
      <c r="Q48" s="333">
        <f>SUM(F48:J48,L48)*'Tillegg- Inndata Øvrige'!K46</f>
        <v>0</v>
      </c>
      <c r="R48" s="333">
        <f>(K48+M48)*'Tillegg- Inndata Øvrige'!K46</f>
        <v>0</v>
      </c>
      <c r="S48" s="333">
        <f>SUM(N48:P48)*'Tillegg- Inndata Øvrige'!K46</f>
        <v>0</v>
      </c>
      <c r="T48" s="334">
        <f>('Tillegg- Inndata Øvrige'!G46+'Tillegg- Inndata Øvrige'!O46+'Tillegg- Inndata Øvrige'!S46)*'Tillegg- Inndata Øvrige'!K46*Transport_utslipp_til_avfallshånderting_per_kg</f>
        <v>0</v>
      </c>
      <c r="U48" s="330">
        <f>IF('Tillegg- Inndata Øvrige'!E46 = 0, 0, 1.833*'Tillegg- Inndata Øvrige'!X46*'Tillegg- Inndata Øvrige'!K46*('Tillegg- Inndata Øvrige'!G46*('Tillegg- Inndata Øvrige'!L46*0.5+'Tillegg- Inndata Øvrige'!M46*0.8) + (12/44)*('Tillegg- Inndata Øvrige'!O46*'Tillegg- Inndata Øvrige'!Q46+'Tillegg- Inndata Øvrige'!S46*'Tillegg- Inndata Øvrige'!U46)))</f>
        <v>0</v>
      </c>
      <c r="V48" s="335">
        <f>IF('Tillegg- Inndata Øvrige'!G46 = 0, 0,  MAX(-SUM(F48:J48,L48)*'Tillegg- Inndata Øvrige'!L46, -0.114*IF('Tillegg- Inndata Øvrige'!H46 &gt; 49, _xlfn.XLOOKUP(49, År_etter_ferdigstillelse, karbon_opptak_faktor), _xlfn.XLOOKUP('Tillegg- Inndata Øvrige'!H46, År_etter_ferdigstillelse, karbon_opptak_faktor))*'Tillegg- Inndata Øvrige'!G46*'Tillegg- Inndata Øvrige'!L46*0.5))</f>
        <v>0</v>
      </c>
      <c r="W48" s="333">
        <f>IF('Tillegg- Inndata Øvrige'!G46=0,0,IF('Tillegg- Inndata Øvrige'!H46&gt;49,-0.064*'Tillegg- Inndata Øvrige'!G46*'Tillegg- Inndata Øvrige'!N46,-0.037*'Tillegg- Inndata Øvrige'!J46*'Tillegg- Inndata Øvrige'!N46))</f>
        <v>0</v>
      </c>
      <c r="X48" s="331" cm="1">
        <f t="array" ref="X48">IF(SUM(F48:J48,L48)=0, 0, SUM(F48:J48,L48)*(1+'Tillegg-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Y48" s="330" cm="1">
        <f t="array" ref="Y48">IF(X48=0, 0, SUM(K48,M48)*(1+'Tillegg-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Z48" s="336" cm="1">
        <f t="array" ref="Z48">IF(X48=0, 0, SUM(N48:P48)*(1+'Tillegg-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A48" s="336" cm="1">
        <f t="array" ref="AA48">IF(X48=0, 0, ('Tillegg- Inndata Øvrige'!G46+'Tillegg- Inndata Øvrige'!O46+'Tillegg- Inndata Øvrige'!S46)*(1+'Tillegg- Inndata Øvrige'!K46)*Transport_utslipp_til_avfallshånderting_per_kg*IF('Tillegg-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B48" s="334" cm="1">
        <f t="array" ref="AB48">IF(X48=0, 0,1.833*'Tillegg- Inndata Øvrige'!J46*('Tillegg- Inndata Øvrige'!X46*_xlfn.XLOOKUP(IF('Tillegg- Inndata Øvrige'!I46&lt;2,'Tillegg- Inndata Øvrige'!H46,'Tillegg- Inndata Øvrige'!H46*2), År_etter_ferdigstillelse, Faktorer!$Z$7:$Z$58))*('Tillegg- Inndata Øvrige'!L46*0.5+'Tillegg- Inndata Øvrige'!M46*0.8)*_xlfn.XLOOKUP(IF('Tillegg- Inndata Øvrige'!I46&lt;2,'Tillegg- Inndata Øvrige'!H46,'Tillegg- Inndata Øvrige'!H46*2), År_etter_ferdigstillelse,  IF(LEFT('Tillegg- Inndata Øvrige'!B46, 2)= 49, f_tid_x_f_tek_d_0_037, f_tid_x_f_tek_d_0_01)))</f>
        <v>0</v>
      </c>
      <c r="AC48" s="335">
        <f>IF(('Tillegg- Inndata Øvrige'!G46) = 0, 0,('Tillegg- Inndata Øvrige'!G46*((AG48+AI48)*Transport_utslipp_til_avfallshånderting_per_kg)+('Tillegg- Inndata Øvrige'!Z46*'ZERO-B Beregning'!D148)*IF('ZERO-B Beregning'!F149=0,'ZERO-B Beregning'!D149,'ZERO-B Beregning'!F149))*_xlfn.XLOOKUP(51, År_etter_ferdigstillelse, f_tid_x_f_tek_d_0_01))</f>
        <v>0</v>
      </c>
      <c r="AD48" s="337">
        <f>IF(('Tillegg- Inndata Øvrige'!G46) = 0, 0,1.833*('Tillegg- Inndata Øvrige'!G46*('Tillegg- Inndata Øvrige'!L46*0.5+'Tillegg- Inndata Øvrige'!M46*0.8)*AG48*_xlfn.XLOOKUP(51, År_etter_ferdigstillelse,  f_tid_x_f_tek_d_0_01)))</f>
        <v>0</v>
      </c>
      <c r="AE48" s="333" cm="1">
        <f t="array" ref="AE48">IF(('Tillegg- Inndata Øvrige'!G46) = 0, 0,-0.8*('Tillegg- Inndata Øvrige'!G46)*AH48*('Tillegg- Inndata Øvrige'!E46/'Tillegg- Inndata Øvrige'!G46)*_xlfn.XLOOKUP(51, År_etter_ferdigstillelse,  IF(LEFT('Tillegg- Inndata Øvrige'!B46, 2)= 49, f_tid_x_f_tek_d_0_037, f_tid_x_f_tek_d_0_01)))</f>
        <v>0</v>
      </c>
      <c r="AF48" s="338" cm="1">
        <f t="array" ref="AF48">IF(('Tillegg- Inndata Øvrige'!G46) = 0, 0,-0.1*('Tillegg- Inndata Øvrige'!G46)*AI48*('Tillegg- Inndata Øvrige'!E46/'Tillegg- Inndata Øvrige'!G46)*_xlfn.XLOOKUP(51, År_etter_ferdigstillelse,  IF(LEFT('Tillegg- Inndata Øvrige'!B46, 2)= 49, f_tid_x_f_tek_d_0_037, f_tid_x_f_tek_d_0_01)))</f>
        <v>0</v>
      </c>
      <c r="AG48" s="572">
        <f>IF(('Tillegg- Inndata Øvrige'!G46) = 0, 0,'Tillegg- Inndata Øvrige'!X46*Faktorer!$Z$58)</f>
        <v>0</v>
      </c>
      <c r="AH48" s="573">
        <f>IF(('Tillegg- Inndata Øvrige'!G46) = 0, 0,'Tillegg- Inndata Øvrige'!Z46+('Tillegg- Inndata Øvrige'!X46+'Tillegg- Inndata Øvrige'!Y46)*(1-Faktorer!$Z$58)*0.5)</f>
        <v>0</v>
      </c>
      <c r="AI48" s="574">
        <f>IF(('Tillegg- Inndata Øvrige'!G46) = 0, 0,'Tillegg- Inndata Øvrige'!AA46+('Tillegg- Inndata Øvrige'!X46+'Tillegg- Inndata Øvrige'!Y46)*(1-Faktorer!$Z$58)*0.5)</f>
        <v>0</v>
      </c>
      <c r="AK48" s="90">
        <f t="shared" si="1"/>
        <v>0</v>
      </c>
      <c r="AL48" s="91">
        <f>'Tillegg- Res. Det. Øvrige'!N48</f>
        <v>0</v>
      </c>
      <c r="AM48" s="91" t="str">
        <f>IF(F48=0,"",('Tillegg- Inndata Øvrige'!E48+'Tillegg- Inndata Øvrige'!F48)*ROUNDDOWN('Tillegg- Inndata Øvrige'!I48,0)*(1+'Tillegg- Inndata Øvrige'!K48))</f>
        <v/>
      </c>
      <c r="AO48" s="1"/>
    </row>
    <row r="49" spans="2:41">
      <c r="B49" s="327">
        <f>'Tillegg- Inndata Øvrige'!B47</f>
        <v>0</v>
      </c>
      <c r="C49" s="327">
        <f>'Tillegg- Inndata Øvrige'!C47</f>
        <v>0</v>
      </c>
      <c r="D49" s="327">
        <f>'Tillegg- Inndata Øvrige'!D47</f>
        <v>0</v>
      </c>
      <c r="E49" s="421" cm="1">
        <f t="array" ref="E49">SUM(IFERROR(F49:AF49,0))</f>
        <v>0</v>
      </c>
      <c r="F49" s="330">
        <f>'Tillegg- Inndata Øvrige'!E47</f>
        <v>0</v>
      </c>
      <c r="G49" s="330">
        <f>IF('Tillegg- Inndata Øvrige'!AB47="Ja", -0.8*$F49, 0)</f>
        <v>0</v>
      </c>
      <c r="H49" s="330">
        <f>IF('Tillegg- Inndata Øvrige'!AC47="Ja", -0.4*$F49, 0)</f>
        <v>0</v>
      </c>
      <c r="I49" s="330">
        <f>IF('Tillegg- Inndata Øvrige'!AD47="Ja", -1*$F49, 0)</f>
        <v>0</v>
      </c>
      <c r="J49" s="330">
        <f>'Tillegg- Inndata Øvrige'!O47*'Tillegg- Inndata Øvrige'!P47</f>
        <v>0</v>
      </c>
      <c r="K49" s="330">
        <f>MAX(-0.75*(SUM('Tillegg- Res. Det. Øvrige'!F49:J49)),-'Tillegg- Inndata Øvrige'!O47*'Tillegg- Inndata Øvrige'!Q47)</f>
        <v>0</v>
      </c>
      <c r="L49" s="330">
        <f>'Tillegg- Inndata Øvrige'!S47*'Tillegg- Inndata Øvrige'!T47</f>
        <v>0</v>
      </c>
      <c r="M49" s="330">
        <f>MAX(-0.75*(SUM('Tillegg- Res. Det. Øvrige'!F49:I49,L49)),-'Tillegg- Inndata Øvrige'!S47*'Tillegg- Inndata Øvrige'!U47)</f>
        <v>0</v>
      </c>
      <c r="N49" s="331">
        <f>'Tillegg- Inndata Øvrige'!F47</f>
        <v>0</v>
      </c>
      <c r="O49" s="330">
        <f>'Tillegg- Inndata Øvrige'!O47*'Tillegg- Inndata Øvrige'!R47</f>
        <v>0</v>
      </c>
      <c r="P49" s="332">
        <f>'Tillegg- Inndata Øvrige'!S47*'Tillegg- Inndata Øvrige'!V47</f>
        <v>0</v>
      </c>
      <c r="Q49" s="333">
        <f>SUM(F49:J49,L49)*'Tillegg- Inndata Øvrige'!K47</f>
        <v>0</v>
      </c>
      <c r="R49" s="333">
        <f>(K49+M49)*'Tillegg- Inndata Øvrige'!K47</f>
        <v>0</v>
      </c>
      <c r="S49" s="333">
        <f>SUM(N49:P49)*'Tillegg- Inndata Øvrige'!K47</f>
        <v>0</v>
      </c>
      <c r="T49" s="334">
        <f>('Tillegg- Inndata Øvrige'!G47+'Tillegg- Inndata Øvrige'!O47+'Tillegg- Inndata Øvrige'!S47)*'Tillegg- Inndata Øvrige'!K47*Transport_utslipp_til_avfallshånderting_per_kg</f>
        <v>0</v>
      </c>
      <c r="U49" s="330">
        <f>IF('Tillegg- Inndata Øvrige'!E47 = 0, 0, 1.833*'Tillegg- Inndata Øvrige'!X47*'Tillegg- Inndata Øvrige'!K47*('Tillegg- Inndata Øvrige'!G47*('Tillegg- Inndata Øvrige'!L47*0.5+'Tillegg- Inndata Øvrige'!M47*0.8) + (12/44)*('Tillegg- Inndata Øvrige'!O47*'Tillegg- Inndata Øvrige'!Q47+'Tillegg- Inndata Øvrige'!S47*'Tillegg- Inndata Øvrige'!U47)))</f>
        <v>0</v>
      </c>
      <c r="V49" s="335">
        <f>IF('Tillegg- Inndata Øvrige'!G47 = 0, 0,  MAX(-SUM(F49:J49,L49)*'Tillegg- Inndata Øvrige'!L47, -0.114*IF('Tillegg- Inndata Øvrige'!H47 &gt; 49, _xlfn.XLOOKUP(49, År_etter_ferdigstillelse, karbon_opptak_faktor), _xlfn.XLOOKUP('Tillegg- Inndata Øvrige'!H47, År_etter_ferdigstillelse, karbon_opptak_faktor))*'Tillegg- Inndata Øvrige'!G47*'Tillegg- Inndata Øvrige'!L47*0.5))</f>
        <v>0</v>
      </c>
      <c r="W49" s="333">
        <f>IF('Tillegg- Inndata Øvrige'!G47=0,0,IF('Tillegg- Inndata Øvrige'!H47&gt;49,-0.064*'Tillegg- Inndata Øvrige'!G47*'Tillegg- Inndata Øvrige'!N47,-0.037*'Tillegg- Inndata Øvrige'!J47*'Tillegg- Inndata Øvrige'!N47))</f>
        <v>0</v>
      </c>
      <c r="X49" s="331" cm="1">
        <f t="array" ref="X49">IF(SUM(F49:J49,L49)=0, 0, SUM(F49:J49,L49)*(1+'Tillegg-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Y49" s="330" cm="1">
        <f t="array" ref="Y49">IF(X49=0, 0, SUM(K49,M49)*(1+'Tillegg-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Z49" s="336" cm="1">
        <f t="array" ref="Z49">IF(X49=0, 0, SUM(N49:P49)*(1+'Tillegg-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A49" s="336" cm="1">
        <f t="array" ref="AA49">IF(X49=0, 0, ('Tillegg- Inndata Øvrige'!G47+'Tillegg- Inndata Øvrige'!O47+'Tillegg- Inndata Øvrige'!S47)*(1+'Tillegg- Inndata Øvrige'!K47)*Transport_utslipp_til_avfallshånderting_per_kg*IF('Tillegg-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B49" s="334" cm="1">
        <f t="array" ref="AB49">IF(X49=0, 0,1.833*'Tillegg- Inndata Øvrige'!J47*('Tillegg- Inndata Øvrige'!X47*_xlfn.XLOOKUP(IF('Tillegg- Inndata Øvrige'!I47&lt;2,'Tillegg- Inndata Øvrige'!H47,'Tillegg- Inndata Øvrige'!H47*2), År_etter_ferdigstillelse, Faktorer!$Z$7:$Z$58))*('Tillegg- Inndata Øvrige'!L47*0.5+'Tillegg- Inndata Øvrige'!M47*0.8)*_xlfn.XLOOKUP(IF('Tillegg- Inndata Øvrige'!I47&lt;2,'Tillegg- Inndata Øvrige'!H47,'Tillegg- Inndata Øvrige'!H47*2), År_etter_ferdigstillelse,  IF(LEFT('Tillegg- Inndata Øvrige'!B47, 2)= 49, f_tid_x_f_tek_d_0_037, f_tid_x_f_tek_d_0_01)))</f>
        <v>0</v>
      </c>
      <c r="AC49" s="335">
        <f>IF(('Tillegg- Inndata Øvrige'!G47) = 0, 0,('Tillegg- Inndata Øvrige'!G47*((AG49+AI49)*Transport_utslipp_til_avfallshånderting_per_kg)+('Tillegg- Inndata Øvrige'!Z47*'ZERO-B Beregning'!D149)*IF('ZERO-B Beregning'!F150=0,'ZERO-B Beregning'!D150,'ZERO-B Beregning'!F150))*_xlfn.XLOOKUP(51, År_etter_ferdigstillelse, f_tid_x_f_tek_d_0_01))</f>
        <v>0</v>
      </c>
      <c r="AD49" s="337">
        <f>IF(('Tillegg- Inndata Øvrige'!G47) = 0, 0,1.833*('Tillegg- Inndata Øvrige'!G47*('Tillegg- Inndata Øvrige'!L47*0.5+'Tillegg- Inndata Øvrige'!M47*0.8)*AG49*_xlfn.XLOOKUP(51, År_etter_ferdigstillelse,  f_tid_x_f_tek_d_0_01)))</f>
        <v>0</v>
      </c>
      <c r="AE49" s="333" cm="1">
        <f t="array" ref="AE49">IF(('Tillegg- Inndata Øvrige'!G47) = 0, 0,-0.8*('Tillegg- Inndata Øvrige'!G47)*AH49*('Tillegg- Inndata Øvrige'!E47/'Tillegg- Inndata Øvrige'!G47)*_xlfn.XLOOKUP(51, År_etter_ferdigstillelse,  IF(LEFT('Tillegg- Inndata Øvrige'!B47, 2)= 49, f_tid_x_f_tek_d_0_037, f_tid_x_f_tek_d_0_01)))</f>
        <v>0</v>
      </c>
      <c r="AF49" s="338" cm="1">
        <f t="array" ref="AF49">IF(('Tillegg- Inndata Øvrige'!G47) = 0, 0,-0.1*('Tillegg- Inndata Øvrige'!G47)*AI49*('Tillegg- Inndata Øvrige'!E47/'Tillegg- Inndata Øvrige'!G47)*_xlfn.XLOOKUP(51, År_etter_ferdigstillelse,  IF(LEFT('Tillegg- Inndata Øvrige'!B47, 2)= 49, f_tid_x_f_tek_d_0_037, f_tid_x_f_tek_d_0_01)))</f>
        <v>0</v>
      </c>
      <c r="AG49" s="572">
        <f>IF(('Tillegg- Inndata Øvrige'!G47) = 0, 0,'Tillegg- Inndata Øvrige'!X47*Faktorer!$Z$58)</f>
        <v>0</v>
      </c>
      <c r="AH49" s="573">
        <f>IF(('Tillegg- Inndata Øvrige'!G47) = 0, 0,'Tillegg- Inndata Øvrige'!Z47+('Tillegg- Inndata Øvrige'!X47+'Tillegg- Inndata Øvrige'!Y47)*(1-Faktorer!$Z$58)*0.5)</f>
        <v>0</v>
      </c>
      <c r="AI49" s="574">
        <f>IF(('Tillegg- Inndata Øvrige'!G47) = 0, 0,'Tillegg- Inndata Øvrige'!AA47+('Tillegg- Inndata Øvrige'!X47+'Tillegg- Inndata Øvrige'!Y47)*(1-Faktorer!$Z$58)*0.5)</f>
        <v>0</v>
      </c>
      <c r="AK49" s="90">
        <f t="shared" si="1"/>
        <v>0</v>
      </c>
      <c r="AL49" s="91">
        <f>'Tillegg- Res. Det. Øvrige'!N49</f>
        <v>0</v>
      </c>
      <c r="AM49" s="91" t="str">
        <f>IF(F49=0,"",('Tillegg- Inndata Øvrige'!E49+'Tillegg- Inndata Øvrige'!F49)*ROUNDDOWN('Tillegg- Inndata Øvrige'!I49,0)*(1+'Tillegg- Inndata Øvrige'!K49))</f>
        <v/>
      </c>
      <c r="AO49" s="1"/>
    </row>
    <row r="50" spans="2:41">
      <c r="B50" s="327">
        <f>'Tillegg- Inndata Øvrige'!B48</f>
        <v>0</v>
      </c>
      <c r="C50" s="327">
        <f>'Tillegg- Inndata Øvrige'!C48</f>
        <v>0</v>
      </c>
      <c r="D50" s="327">
        <f>'Tillegg- Inndata Øvrige'!D48</f>
        <v>0</v>
      </c>
      <c r="E50" s="421" cm="1">
        <f t="array" ref="E50">SUM(IFERROR(F50:AF50,0))</f>
        <v>0</v>
      </c>
      <c r="F50" s="330">
        <f>'Tillegg- Inndata Øvrige'!E48</f>
        <v>0</v>
      </c>
      <c r="G50" s="330">
        <f>IF('Tillegg- Inndata Øvrige'!AB48="Ja", -0.8*$F50, 0)</f>
        <v>0</v>
      </c>
      <c r="H50" s="330">
        <f>IF('Tillegg- Inndata Øvrige'!AC48="Ja", -0.4*$F50, 0)</f>
        <v>0</v>
      </c>
      <c r="I50" s="330">
        <f>IF('Tillegg- Inndata Øvrige'!AD48="Ja", -1*$F50, 0)</f>
        <v>0</v>
      </c>
      <c r="J50" s="330">
        <f>'Tillegg- Inndata Øvrige'!O48*'Tillegg- Inndata Øvrige'!P48</f>
        <v>0</v>
      </c>
      <c r="K50" s="330">
        <f>MAX(-0.75*(SUM('Tillegg- Res. Det. Øvrige'!F50:J50)),-'Tillegg- Inndata Øvrige'!O48*'Tillegg- Inndata Øvrige'!Q48)</f>
        <v>0</v>
      </c>
      <c r="L50" s="330">
        <f>'Tillegg- Inndata Øvrige'!S48*'Tillegg- Inndata Øvrige'!T48</f>
        <v>0</v>
      </c>
      <c r="M50" s="330">
        <f>MAX(-0.75*(SUM('Tillegg- Res. Det. Øvrige'!F50:I50,L50)),-'Tillegg- Inndata Øvrige'!S48*'Tillegg- Inndata Øvrige'!U48)</f>
        <v>0</v>
      </c>
      <c r="N50" s="331">
        <f>'Tillegg- Inndata Øvrige'!F48</f>
        <v>0</v>
      </c>
      <c r="O50" s="330">
        <f>'Tillegg- Inndata Øvrige'!O48*'Tillegg- Inndata Øvrige'!R48</f>
        <v>0</v>
      </c>
      <c r="P50" s="332">
        <f>'Tillegg- Inndata Øvrige'!S48*'Tillegg- Inndata Øvrige'!V48</f>
        <v>0</v>
      </c>
      <c r="Q50" s="333">
        <f>SUM(F50:J50,L50)*'Tillegg- Inndata Øvrige'!K48</f>
        <v>0</v>
      </c>
      <c r="R50" s="333">
        <f>(K50+M50)*'Tillegg- Inndata Øvrige'!K48</f>
        <v>0</v>
      </c>
      <c r="S50" s="333">
        <f>SUM(N50:P50)*'Tillegg- Inndata Øvrige'!K48</f>
        <v>0</v>
      </c>
      <c r="T50" s="334">
        <f>('Tillegg- Inndata Øvrige'!G48+'Tillegg- Inndata Øvrige'!O48+'Tillegg- Inndata Øvrige'!S48)*'Tillegg- Inndata Øvrige'!K48*Transport_utslipp_til_avfallshånderting_per_kg</f>
        <v>0</v>
      </c>
      <c r="U50" s="330">
        <f>IF('Tillegg- Inndata Øvrige'!E48 = 0, 0, 1.833*'Tillegg- Inndata Øvrige'!X48*'Tillegg- Inndata Øvrige'!K48*('Tillegg- Inndata Øvrige'!G48*('Tillegg- Inndata Øvrige'!L48*0.5+'Tillegg- Inndata Øvrige'!M48*0.8) + (12/44)*('Tillegg- Inndata Øvrige'!O48*'Tillegg- Inndata Øvrige'!Q48+'Tillegg- Inndata Øvrige'!S48*'Tillegg- Inndata Øvrige'!U48)))</f>
        <v>0</v>
      </c>
      <c r="V50" s="335">
        <f>IF('Tillegg- Inndata Øvrige'!G48 = 0, 0,  MAX(-SUM(F50:J50,L50)*'Tillegg- Inndata Øvrige'!L48, -0.114*IF('Tillegg- Inndata Øvrige'!H48 &gt; 49, _xlfn.XLOOKUP(49, År_etter_ferdigstillelse, karbon_opptak_faktor), _xlfn.XLOOKUP('Tillegg- Inndata Øvrige'!H48, År_etter_ferdigstillelse, karbon_opptak_faktor))*'Tillegg- Inndata Øvrige'!G48*'Tillegg- Inndata Øvrige'!L48*0.5))</f>
        <v>0</v>
      </c>
      <c r="W50" s="333">
        <f>IF('Tillegg- Inndata Øvrige'!G48=0,0,IF('Tillegg- Inndata Øvrige'!H48&gt;49,-0.064*'Tillegg- Inndata Øvrige'!G48*'Tillegg- Inndata Øvrige'!N48,-0.037*'Tillegg- Inndata Øvrige'!J48*'Tillegg- Inndata Øvrige'!N48))</f>
        <v>0</v>
      </c>
      <c r="X50" s="331" cm="1">
        <f t="array" ref="X50">IF(SUM(F50:J50,L50)=0, 0, SUM(F50:J50,L50)*(1+'Tillegg-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Y50" s="330" cm="1">
        <f t="array" ref="Y50">IF(X50=0, 0, SUM(K50,M50)*(1+'Tillegg-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Z50" s="336" cm="1">
        <f t="array" ref="Z50">IF(X50=0, 0, SUM(N50:P50)*(1+'Tillegg-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A50" s="336" cm="1">
        <f t="array" ref="AA50">IF(X50=0, 0, ('Tillegg- Inndata Øvrige'!G48+'Tillegg- Inndata Øvrige'!O48+'Tillegg- Inndata Øvrige'!S48)*(1+'Tillegg- Inndata Øvrige'!K48)*Transport_utslipp_til_avfallshånderting_per_kg*IF('Tillegg-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B50" s="334" cm="1">
        <f t="array" ref="AB50">IF(X50=0, 0,1.833*'Tillegg- Inndata Øvrige'!J48*('Tillegg- Inndata Øvrige'!X48*_xlfn.XLOOKUP(IF('Tillegg- Inndata Øvrige'!I48&lt;2,'Tillegg- Inndata Øvrige'!H48,'Tillegg- Inndata Øvrige'!H48*2), År_etter_ferdigstillelse, Faktorer!$Z$7:$Z$58))*('Tillegg- Inndata Øvrige'!L48*0.5+'Tillegg- Inndata Øvrige'!M48*0.8)*_xlfn.XLOOKUP(IF('Tillegg- Inndata Øvrige'!I48&lt;2,'Tillegg- Inndata Øvrige'!H48,'Tillegg- Inndata Øvrige'!H48*2), År_etter_ferdigstillelse,  IF(LEFT('Tillegg- Inndata Øvrige'!B48, 2)= 49, f_tid_x_f_tek_d_0_037, f_tid_x_f_tek_d_0_01)))</f>
        <v>0</v>
      </c>
      <c r="AC50" s="335">
        <f>IF(('Tillegg- Inndata Øvrige'!G48) = 0, 0,('Tillegg- Inndata Øvrige'!G48*((AG50+AI50)*Transport_utslipp_til_avfallshånderting_per_kg)+('Tillegg- Inndata Øvrige'!Z48*'ZERO-B Beregning'!D150)*IF('ZERO-B Beregning'!F151=0,'ZERO-B Beregning'!D151,'ZERO-B Beregning'!F151))*_xlfn.XLOOKUP(51, År_etter_ferdigstillelse, f_tid_x_f_tek_d_0_01))</f>
        <v>0</v>
      </c>
      <c r="AD50" s="337">
        <f>IF(('Tillegg- Inndata Øvrige'!G48) = 0, 0,1.833*('Tillegg- Inndata Øvrige'!G48*('Tillegg- Inndata Øvrige'!L48*0.5+'Tillegg- Inndata Øvrige'!M48*0.8)*AG50*_xlfn.XLOOKUP(51, År_etter_ferdigstillelse,  f_tid_x_f_tek_d_0_01)))</f>
        <v>0</v>
      </c>
      <c r="AE50" s="333" cm="1">
        <f t="array" ref="AE50">IF(('Tillegg- Inndata Øvrige'!G48) = 0, 0,-0.8*('Tillegg- Inndata Øvrige'!G48)*AH50*('Tillegg- Inndata Øvrige'!E48/'Tillegg- Inndata Øvrige'!G48)*_xlfn.XLOOKUP(51, År_etter_ferdigstillelse,  IF(LEFT('Tillegg- Inndata Øvrige'!B48, 2)= 49, f_tid_x_f_tek_d_0_037, f_tid_x_f_tek_d_0_01)))</f>
        <v>0</v>
      </c>
      <c r="AF50" s="338" cm="1">
        <f t="array" ref="AF50">IF(('Tillegg- Inndata Øvrige'!G48) = 0, 0,-0.1*('Tillegg- Inndata Øvrige'!G48)*AI50*('Tillegg- Inndata Øvrige'!E48/'Tillegg- Inndata Øvrige'!G48)*_xlfn.XLOOKUP(51, År_etter_ferdigstillelse,  IF(LEFT('Tillegg- Inndata Øvrige'!B48, 2)= 49, f_tid_x_f_tek_d_0_037, f_tid_x_f_tek_d_0_01)))</f>
        <v>0</v>
      </c>
      <c r="AG50" s="572">
        <f>IF(('Tillegg- Inndata Øvrige'!G48) = 0, 0,'Tillegg- Inndata Øvrige'!X48*Faktorer!$Z$58)</f>
        <v>0</v>
      </c>
      <c r="AH50" s="573">
        <f>IF(('Tillegg- Inndata Øvrige'!G48) = 0, 0,'Tillegg- Inndata Øvrige'!Z48+('Tillegg- Inndata Øvrige'!X48+'Tillegg- Inndata Øvrige'!Y48)*(1-Faktorer!$Z$58)*0.5)</f>
        <v>0</v>
      </c>
      <c r="AI50" s="574">
        <f>IF(('Tillegg- Inndata Øvrige'!G48) = 0, 0,'Tillegg- Inndata Øvrige'!AA48+('Tillegg- Inndata Øvrige'!X48+'Tillegg- Inndata Øvrige'!Y48)*(1-Faktorer!$Z$58)*0.5)</f>
        <v>0</v>
      </c>
      <c r="AK50" s="90">
        <f t="shared" si="1"/>
        <v>0</v>
      </c>
      <c r="AL50" s="91">
        <f>'Tillegg- Res. Det. Øvrige'!N50</f>
        <v>0</v>
      </c>
      <c r="AM50" s="91" t="str">
        <f>IF(F50=0,"",('Tillegg- Inndata Øvrige'!E50+'Tillegg- Inndata Øvrige'!F50)*ROUNDDOWN('Tillegg- Inndata Øvrige'!I50,0)*(1+'Tillegg- Inndata Øvrige'!K50))</f>
        <v/>
      </c>
      <c r="AO50" s="1"/>
    </row>
    <row r="51" spans="2:41">
      <c r="B51" s="327">
        <f>'Tillegg- Inndata Øvrige'!B49</f>
        <v>0</v>
      </c>
      <c r="C51" s="327">
        <f>'Tillegg- Inndata Øvrige'!C49</f>
        <v>0</v>
      </c>
      <c r="D51" s="327">
        <f>'Tillegg- Inndata Øvrige'!D49</f>
        <v>0</v>
      </c>
      <c r="E51" s="421" cm="1">
        <f t="array" ref="E51">SUM(IFERROR(F51:AF51,0))</f>
        <v>0</v>
      </c>
      <c r="F51" s="330">
        <f>'Tillegg- Inndata Øvrige'!E49</f>
        <v>0</v>
      </c>
      <c r="G51" s="330">
        <f>IF('Tillegg- Inndata Øvrige'!AB49="Ja", -0.8*$F51, 0)</f>
        <v>0</v>
      </c>
      <c r="H51" s="330">
        <f>IF('Tillegg- Inndata Øvrige'!AC49="Ja", -0.4*$F51, 0)</f>
        <v>0</v>
      </c>
      <c r="I51" s="330">
        <f>IF('Tillegg- Inndata Øvrige'!AD49="Ja", -1*$F51, 0)</f>
        <v>0</v>
      </c>
      <c r="J51" s="330">
        <f>'Tillegg- Inndata Øvrige'!O49*'Tillegg- Inndata Øvrige'!P49</f>
        <v>0</v>
      </c>
      <c r="K51" s="330">
        <f>MAX(-0.75*(SUM('Tillegg- Res. Det. Øvrige'!F51:J51)),-'Tillegg- Inndata Øvrige'!O49*'Tillegg- Inndata Øvrige'!Q49)</f>
        <v>0</v>
      </c>
      <c r="L51" s="330">
        <f>'Tillegg- Inndata Øvrige'!S49*'Tillegg- Inndata Øvrige'!T49</f>
        <v>0</v>
      </c>
      <c r="M51" s="330">
        <f>MAX(-0.75*(SUM('Tillegg- Res. Det. Øvrige'!F51:I51,L51)),-'Tillegg- Inndata Øvrige'!S49*'Tillegg- Inndata Øvrige'!U49)</f>
        <v>0</v>
      </c>
      <c r="N51" s="331">
        <f>'Tillegg- Inndata Øvrige'!F49</f>
        <v>0</v>
      </c>
      <c r="O51" s="330">
        <f>'Tillegg- Inndata Øvrige'!O49*'Tillegg- Inndata Øvrige'!R49</f>
        <v>0</v>
      </c>
      <c r="P51" s="332">
        <f>'Tillegg- Inndata Øvrige'!S49*'Tillegg- Inndata Øvrige'!V49</f>
        <v>0</v>
      </c>
      <c r="Q51" s="333">
        <f>SUM(F51:J51,L51)*'Tillegg- Inndata Øvrige'!K49</f>
        <v>0</v>
      </c>
      <c r="R51" s="333">
        <f>(K51+M51)*'Tillegg- Inndata Øvrige'!K49</f>
        <v>0</v>
      </c>
      <c r="S51" s="333">
        <f>SUM(N51:P51)*'Tillegg- Inndata Øvrige'!K49</f>
        <v>0</v>
      </c>
      <c r="T51" s="334">
        <f>('Tillegg- Inndata Øvrige'!G49+'Tillegg- Inndata Øvrige'!O49+'Tillegg- Inndata Øvrige'!S49)*'Tillegg- Inndata Øvrige'!K49*Transport_utslipp_til_avfallshånderting_per_kg</f>
        <v>0</v>
      </c>
      <c r="U51" s="330">
        <f>IF('Tillegg- Inndata Øvrige'!E49 = 0, 0, 1.833*'Tillegg- Inndata Øvrige'!X49*'Tillegg- Inndata Øvrige'!K49*('Tillegg- Inndata Øvrige'!G49*('Tillegg- Inndata Øvrige'!L49*0.5+'Tillegg- Inndata Øvrige'!M49*0.8) + (12/44)*('Tillegg- Inndata Øvrige'!O49*'Tillegg- Inndata Øvrige'!Q49+'Tillegg- Inndata Øvrige'!S49*'Tillegg- Inndata Øvrige'!U49)))</f>
        <v>0</v>
      </c>
      <c r="V51" s="335">
        <f>IF('Tillegg- Inndata Øvrige'!G49 = 0, 0,  MAX(-SUM(F51:J51,L51)*'Tillegg- Inndata Øvrige'!L49, -0.114*IF('Tillegg- Inndata Øvrige'!H49 &gt; 49, _xlfn.XLOOKUP(49, År_etter_ferdigstillelse, karbon_opptak_faktor), _xlfn.XLOOKUP('Tillegg- Inndata Øvrige'!H49, År_etter_ferdigstillelse, karbon_opptak_faktor))*'Tillegg- Inndata Øvrige'!G49*'Tillegg- Inndata Øvrige'!L49*0.5))</f>
        <v>0</v>
      </c>
      <c r="W51" s="333">
        <f>IF('Tillegg- Inndata Øvrige'!G49=0,0,IF('Tillegg- Inndata Øvrige'!H49&gt;49,-0.064*'Tillegg- Inndata Øvrige'!G49*'Tillegg- Inndata Øvrige'!N49,-0.037*'Tillegg- Inndata Øvrige'!J49*'Tillegg- Inndata Øvrige'!N49))</f>
        <v>0</v>
      </c>
      <c r="X51" s="331" cm="1">
        <f t="array" ref="X51">IF(SUM(F51:J51,L51)=0, 0, SUM(F51:J51,L51)*(1+'Tillegg-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Y51" s="330" cm="1">
        <f t="array" ref="Y51">IF(X51=0, 0, SUM(K51,M51)*(1+'Tillegg-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Z51" s="336" cm="1">
        <f t="array" ref="Z51">IF(X51=0, 0, SUM(N51:P51)*(1+'Tillegg-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A51" s="336" cm="1">
        <f t="array" ref="AA51">IF(X51=0, 0, ('Tillegg- Inndata Øvrige'!G49+'Tillegg- Inndata Øvrige'!O49+'Tillegg- Inndata Øvrige'!S49)*(1+'Tillegg- Inndata Øvrige'!K49)*Transport_utslipp_til_avfallshånderting_per_kg*IF('Tillegg-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B51" s="334" cm="1">
        <f t="array" ref="AB51">IF(X51=0, 0,1.833*'Tillegg- Inndata Øvrige'!J49*('Tillegg- Inndata Øvrige'!X49*_xlfn.XLOOKUP(IF('Tillegg- Inndata Øvrige'!I49&lt;2,'Tillegg- Inndata Øvrige'!H49,'Tillegg- Inndata Øvrige'!H49*2), År_etter_ferdigstillelse, Faktorer!$Z$7:$Z$58))*('Tillegg- Inndata Øvrige'!L49*0.5+'Tillegg- Inndata Øvrige'!M49*0.8)*_xlfn.XLOOKUP(IF('Tillegg- Inndata Øvrige'!I49&lt;2,'Tillegg- Inndata Øvrige'!H49,'Tillegg- Inndata Øvrige'!H49*2), År_etter_ferdigstillelse,  IF(LEFT('Tillegg- Inndata Øvrige'!B49, 2)= 49, f_tid_x_f_tek_d_0_037, f_tid_x_f_tek_d_0_01)))</f>
        <v>0</v>
      </c>
      <c r="AC51" s="335">
        <f>IF(('Tillegg- Inndata Øvrige'!G49) = 0, 0,('Tillegg- Inndata Øvrige'!G49*((AG51+AI51)*Transport_utslipp_til_avfallshånderting_per_kg)+('Tillegg- Inndata Øvrige'!Z49*'ZERO-B Beregning'!D151)*IF('ZERO-B Beregning'!F152=0,'ZERO-B Beregning'!D152,'ZERO-B Beregning'!F152))*_xlfn.XLOOKUP(51, År_etter_ferdigstillelse, f_tid_x_f_tek_d_0_01))</f>
        <v>0</v>
      </c>
      <c r="AD51" s="337">
        <f>IF(('Tillegg- Inndata Øvrige'!G49) = 0, 0,1.833*('Tillegg- Inndata Øvrige'!G49*('Tillegg- Inndata Øvrige'!L49*0.5+'Tillegg- Inndata Øvrige'!M49*0.8)*AG51*_xlfn.XLOOKUP(51, År_etter_ferdigstillelse,  f_tid_x_f_tek_d_0_01)))</f>
        <v>0</v>
      </c>
      <c r="AE51" s="333" cm="1">
        <f t="array" ref="AE51">IF(('Tillegg- Inndata Øvrige'!G49) = 0, 0,-0.8*('Tillegg- Inndata Øvrige'!G49)*AH51*('Tillegg- Inndata Øvrige'!E49/'Tillegg- Inndata Øvrige'!G49)*_xlfn.XLOOKUP(51, År_etter_ferdigstillelse,  IF(LEFT('Tillegg- Inndata Øvrige'!B49, 2)= 49, f_tid_x_f_tek_d_0_037, f_tid_x_f_tek_d_0_01)))</f>
        <v>0</v>
      </c>
      <c r="AF51" s="338" cm="1">
        <f t="array" ref="AF51">IF(('Tillegg- Inndata Øvrige'!G49) = 0, 0,-0.1*('Tillegg- Inndata Øvrige'!G49)*AI51*('Tillegg- Inndata Øvrige'!E49/'Tillegg- Inndata Øvrige'!G49)*_xlfn.XLOOKUP(51, År_etter_ferdigstillelse,  IF(LEFT('Tillegg- Inndata Øvrige'!B49, 2)= 49, f_tid_x_f_tek_d_0_037, f_tid_x_f_tek_d_0_01)))</f>
        <v>0</v>
      </c>
      <c r="AG51" s="572">
        <f>IF(('Tillegg- Inndata Øvrige'!G49) = 0, 0,'Tillegg- Inndata Øvrige'!X49*Faktorer!$Z$58)</f>
        <v>0</v>
      </c>
      <c r="AH51" s="573">
        <f>IF(('Tillegg- Inndata Øvrige'!G49) = 0, 0,'Tillegg- Inndata Øvrige'!Z49+('Tillegg- Inndata Øvrige'!X49+'Tillegg- Inndata Øvrige'!Y49)*(1-Faktorer!$Z$58)*0.5)</f>
        <v>0</v>
      </c>
      <c r="AI51" s="574">
        <f>IF(('Tillegg- Inndata Øvrige'!G49) = 0, 0,'Tillegg- Inndata Øvrige'!AA49+('Tillegg- Inndata Øvrige'!X49+'Tillegg- Inndata Øvrige'!Y49)*(1-Faktorer!$Z$58)*0.5)</f>
        <v>0</v>
      </c>
      <c r="AK51" s="90">
        <f t="shared" si="1"/>
        <v>0</v>
      </c>
      <c r="AL51" s="91">
        <f>'Tillegg- Res. Det. Øvrige'!N51</f>
        <v>0</v>
      </c>
      <c r="AM51" s="91" t="str">
        <f>IF(F51=0,"",('Tillegg- Inndata Øvrige'!E51+'Tillegg- Inndata Øvrige'!F51)*ROUNDDOWN('Tillegg- Inndata Øvrige'!I51,0)*(1+'Tillegg- Inndata Øvrige'!K51))</f>
        <v/>
      </c>
      <c r="AO51" s="1"/>
    </row>
    <row r="52" spans="2:41">
      <c r="B52" s="327">
        <f>'Tillegg- Inndata Øvrige'!B50</f>
        <v>0</v>
      </c>
      <c r="C52" s="327">
        <f>'Tillegg- Inndata Øvrige'!C50</f>
        <v>0</v>
      </c>
      <c r="D52" s="327">
        <f>'Tillegg- Inndata Øvrige'!D50</f>
        <v>0</v>
      </c>
      <c r="E52" s="421" cm="1">
        <f t="array" ref="E52">SUM(IFERROR(F52:AF52,0))</f>
        <v>0</v>
      </c>
      <c r="F52" s="330">
        <f>'Tillegg- Inndata Øvrige'!E50</f>
        <v>0</v>
      </c>
      <c r="G52" s="330">
        <f>IF('Tillegg- Inndata Øvrige'!AB50="Ja", -0.8*$F52, 0)</f>
        <v>0</v>
      </c>
      <c r="H52" s="330">
        <f>IF('Tillegg- Inndata Øvrige'!AC50="Ja", -0.4*$F52, 0)</f>
        <v>0</v>
      </c>
      <c r="I52" s="330">
        <f>IF('Tillegg- Inndata Øvrige'!AD50="Ja", -1*$F52, 0)</f>
        <v>0</v>
      </c>
      <c r="J52" s="330">
        <f>'Tillegg- Inndata Øvrige'!O50*'Tillegg- Inndata Øvrige'!P50</f>
        <v>0</v>
      </c>
      <c r="K52" s="330">
        <f>MAX(-0.75*(SUM('Tillegg- Res. Det. Øvrige'!F52:J52)),-'Tillegg- Inndata Øvrige'!O50*'Tillegg- Inndata Øvrige'!Q50)</f>
        <v>0</v>
      </c>
      <c r="L52" s="330">
        <f>'Tillegg- Inndata Øvrige'!S50*'Tillegg- Inndata Øvrige'!T50</f>
        <v>0</v>
      </c>
      <c r="M52" s="330">
        <f>MAX(-0.75*(SUM('Tillegg- Res. Det. Øvrige'!F52:I52,L52)),-'Tillegg- Inndata Øvrige'!S50*'Tillegg- Inndata Øvrige'!U50)</f>
        <v>0</v>
      </c>
      <c r="N52" s="331">
        <f>'Tillegg- Inndata Øvrige'!F50</f>
        <v>0</v>
      </c>
      <c r="O52" s="330">
        <f>'Tillegg- Inndata Øvrige'!O50*'Tillegg- Inndata Øvrige'!R50</f>
        <v>0</v>
      </c>
      <c r="P52" s="332">
        <f>'Tillegg- Inndata Øvrige'!S50*'Tillegg- Inndata Øvrige'!V50</f>
        <v>0</v>
      </c>
      <c r="Q52" s="333">
        <f>SUM(F52:J52,L52)*'Tillegg- Inndata Øvrige'!K50</f>
        <v>0</v>
      </c>
      <c r="R52" s="333">
        <f>(K52+M52)*'Tillegg- Inndata Øvrige'!K50</f>
        <v>0</v>
      </c>
      <c r="S52" s="333">
        <f>SUM(N52:P52)*'Tillegg- Inndata Øvrige'!K50</f>
        <v>0</v>
      </c>
      <c r="T52" s="334">
        <f>('Tillegg- Inndata Øvrige'!G50+'Tillegg- Inndata Øvrige'!O50+'Tillegg- Inndata Øvrige'!S50)*'Tillegg- Inndata Øvrige'!K50*Transport_utslipp_til_avfallshånderting_per_kg</f>
        <v>0</v>
      </c>
      <c r="U52" s="330">
        <f>IF('Tillegg- Inndata Øvrige'!E50 = 0, 0, 1.833*'Tillegg- Inndata Øvrige'!X50*'Tillegg- Inndata Øvrige'!K50*('Tillegg- Inndata Øvrige'!G50*('Tillegg- Inndata Øvrige'!L50*0.5+'Tillegg- Inndata Øvrige'!M50*0.8) + (12/44)*('Tillegg- Inndata Øvrige'!O50*'Tillegg- Inndata Øvrige'!Q50+'Tillegg- Inndata Øvrige'!S50*'Tillegg- Inndata Øvrige'!U50)))</f>
        <v>0</v>
      </c>
      <c r="V52" s="335">
        <f>IF('Tillegg- Inndata Øvrige'!G50 = 0, 0,  MAX(-SUM(F52:J52,L52)*'Tillegg- Inndata Øvrige'!L50, -0.114*IF('Tillegg- Inndata Øvrige'!H50 &gt; 49, _xlfn.XLOOKUP(49, År_etter_ferdigstillelse, karbon_opptak_faktor), _xlfn.XLOOKUP('Tillegg- Inndata Øvrige'!H50, År_etter_ferdigstillelse, karbon_opptak_faktor))*'Tillegg- Inndata Øvrige'!G50*'Tillegg- Inndata Øvrige'!L50*0.5))</f>
        <v>0</v>
      </c>
      <c r="W52" s="333">
        <f>IF('Tillegg- Inndata Øvrige'!G50=0,0,IF('Tillegg- Inndata Øvrige'!H50&gt;49,-0.064*'Tillegg- Inndata Øvrige'!G50*'Tillegg- Inndata Øvrige'!N50,-0.037*'Tillegg- Inndata Øvrige'!J50*'Tillegg- Inndata Øvrige'!N50))</f>
        <v>0</v>
      </c>
      <c r="X52" s="331" cm="1">
        <f t="array" ref="X52">IF(SUM(F52:J52,L52)=0, 0, SUM(F52:J52,L52)*(1+'Tillegg-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Y52" s="330" cm="1">
        <f t="array" ref="Y52">IF(X52=0, 0, SUM(K52,M52)*(1+'Tillegg-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Z52" s="336" cm="1">
        <f t="array" ref="Z52">IF(X52=0, 0, SUM(N52:P52)*(1+'Tillegg-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A52" s="336" cm="1">
        <f t="array" ref="AA52">IF(X52=0, 0, ('Tillegg- Inndata Øvrige'!G50+'Tillegg- Inndata Øvrige'!O50+'Tillegg- Inndata Øvrige'!S50)*(1+'Tillegg- Inndata Øvrige'!K50)*Transport_utslipp_til_avfallshånderting_per_kg*IF('Tillegg-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B52" s="334" cm="1">
        <f t="array" ref="AB52">IF(X52=0, 0,1.833*'Tillegg- Inndata Øvrige'!J50*('Tillegg- Inndata Øvrige'!X50*_xlfn.XLOOKUP(IF('Tillegg- Inndata Øvrige'!I50&lt;2,'Tillegg- Inndata Øvrige'!H50,'Tillegg- Inndata Øvrige'!H50*2), År_etter_ferdigstillelse, Faktorer!$Z$7:$Z$58))*('Tillegg- Inndata Øvrige'!L50*0.5+'Tillegg- Inndata Øvrige'!M50*0.8)*_xlfn.XLOOKUP(IF('Tillegg- Inndata Øvrige'!I50&lt;2,'Tillegg- Inndata Øvrige'!H50,'Tillegg- Inndata Øvrige'!H50*2), År_etter_ferdigstillelse,  IF(LEFT('Tillegg- Inndata Øvrige'!B50, 2)= 49, f_tid_x_f_tek_d_0_037, f_tid_x_f_tek_d_0_01)))</f>
        <v>0</v>
      </c>
      <c r="AC52" s="335">
        <f>IF(('Tillegg- Inndata Øvrige'!G50) = 0, 0,('Tillegg- Inndata Øvrige'!G50*((AG52+AI52)*Transport_utslipp_til_avfallshånderting_per_kg)+('Tillegg- Inndata Øvrige'!Z50*'ZERO-B Beregning'!D152)*IF('ZERO-B Beregning'!F153=0,'ZERO-B Beregning'!D153,'ZERO-B Beregning'!F153))*_xlfn.XLOOKUP(51, År_etter_ferdigstillelse, f_tid_x_f_tek_d_0_01))</f>
        <v>0</v>
      </c>
      <c r="AD52" s="337">
        <f>IF(('Tillegg- Inndata Øvrige'!G50) = 0, 0,1.833*('Tillegg- Inndata Øvrige'!G50*('Tillegg- Inndata Øvrige'!L50*0.5+'Tillegg- Inndata Øvrige'!M50*0.8)*AG52*_xlfn.XLOOKUP(51, År_etter_ferdigstillelse,  f_tid_x_f_tek_d_0_01)))</f>
        <v>0</v>
      </c>
      <c r="AE52" s="333" cm="1">
        <f t="array" ref="AE52">IF(('Tillegg- Inndata Øvrige'!G50) = 0, 0,-0.8*('Tillegg- Inndata Øvrige'!G50)*AH52*('Tillegg- Inndata Øvrige'!E50/'Tillegg- Inndata Øvrige'!G50)*_xlfn.XLOOKUP(51, År_etter_ferdigstillelse,  IF(LEFT('Tillegg- Inndata Øvrige'!B50, 2)= 49, f_tid_x_f_tek_d_0_037, f_tid_x_f_tek_d_0_01)))</f>
        <v>0</v>
      </c>
      <c r="AF52" s="338" cm="1">
        <f t="array" ref="AF52">IF(('Tillegg- Inndata Øvrige'!G50) = 0, 0,-0.1*('Tillegg- Inndata Øvrige'!G50)*AI52*('Tillegg- Inndata Øvrige'!E50/'Tillegg- Inndata Øvrige'!G50)*_xlfn.XLOOKUP(51, År_etter_ferdigstillelse,  IF(LEFT('Tillegg- Inndata Øvrige'!B50, 2)= 49, f_tid_x_f_tek_d_0_037, f_tid_x_f_tek_d_0_01)))</f>
        <v>0</v>
      </c>
      <c r="AG52" s="572">
        <f>IF(('Tillegg- Inndata Øvrige'!G50) = 0, 0,'Tillegg- Inndata Øvrige'!X50*Faktorer!$Z$58)</f>
        <v>0</v>
      </c>
      <c r="AH52" s="573">
        <f>IF(('Tillegg- Inndata Øvrige'!G50) = 0, 0,'Tillegg- Inndata Øvrige'!Z50+('Tillegg- Inndata Øvrige'!X50+'Tillegg- Inndata Øvrige'!Y50)*(1-Faktorer!$Z$58)*0.5)</f>
        <v>0</v>
      </c>
      <c r="AI52" s="574">
        <f>IF(('Tillegg- Inndata Øvrige'!G50) = 0, 0,'Tillegg- Inndata Øvrige'!AA50+('Tillegg- Inndata Øvrige'!X50+'Tillegg- Inndata Øvrige'!Y50)*(1-Faktorer!$Z$58)*0.5)</f>
        <v>0</v>
      </c>
      <c r="AK52" s="90">
        <f t="shared" si="1"/>
        <v>0</v>
      </c>
      <c r="AL52" s="91">
        <f>'Tillegg- Res. Det. Øvrige'!N52</f>
        <v>0</v>
      </c>
      <c r="AM52" s="91" t="str">
        <f>IF(F52=0,"",('Tillegg- Inndata Øvrige'!E52+'Tillegg- Inndata Øvrige'!F52)*ROUNDDOWN('Tillegg- Inndata Øvrige'!I52,0)*(1+'Tillegg- Inndata Øvrige'!K52))</f>
        <v/>
      </c>
      <c r="AO52" s="1"/>
    </row>
    <row r="53" spans="2:41">
      <c r="B53" s="327">
        <f>'Tillegg- Inndata Øvrige'!B51</f>
        <v>0</v>
      </c>
      <c r="C53" s="327">
        <f>'Tillegg- Inndata Øvrige'!C51</f>
        <v>0</v>
      </c>
      <c r="D53" s="327">
        <f>'Tillegg- Inndata Øvrige'!D51</f>
        <v>0</v>
      </c>
      <c r="E53" s="421" cm="1">
        <f t="array" ref="E53">SUM(IFERROR(F53:AF53,0))</f>
        <v>0</v>
      </c>
      <c r="F53" s="330">
        <f>'Tillegg- Inndata Øvrige'!E51</f>
        <v>0</v>
      </c>
      <c r="G53" s="330">
        <f>IF('Tillegg- Inndata Øvrige'!AB51="Ja", -0.8*$F53, 0)</f>
        <v>0</v>
      </c>
      <c r="H53" s="330">
        <f>IF('Tillegg- Inndata Øvrige'!AC51="Ja", -0.4*$F53, 0)</f>
        <v>0</v>
      </c>
      <c r="I53" s="330">
        <f>IF('Tillegg- Inndata Øvrige'!AD51="Ja", -1*$F53, 0)</f>
        <v>0</v>
      </c>
      <c r="J53" s="330">
        <f>'Tillegg- Inndata Øvrige'!O51*'Tillegg- Inndata Øvrige'!P51</f>
        <v>0</v>
      </c>
      <c r="K53" s="330">
        <f>MAX(-0.75*(SUM('Tillegg- Res. Det. Øvrige'!F53:J53)),-'Tillegg- Inndata Øvrige'!O51*'Tillegg- Inndata Øvrige'!Q51)</f>
        <v>0</v>
      </c>
      <c r="L53" s="330">
        <f>'Tillegg- Inndata Øvrige'!S51*'Tillegg- Inndata Øvrige'!T51</f>
        <v>0</v>
      </c>
      <c r="M53" s="330">
        <f>MAX(-0.75*(SUM('Tillegg- Res. Det. Øvrige'!F53:I53,L53)),-'Tillegg- Inndata Øvrige'!S51*'Tillegg- Inndata Øvrige'!U51)</f>
        <v>0</v>
      </c>
      <c r="N53" s="331">
        <f>'Tillegg- Inndata Øvrige'!F51</f>
        <v>0</v>
      </c>
      <c r="O53" s="330">
        <f>'Tillegg- Inndata Øvrige'!O51*'Tillegg- Inndata Øvrige'!R51</f>
        <v>0</v>
      </c>
      <c r="P53" s="332">
        <f>'Tillegg- Inndata Øvrige'!S51*'Tillegg- Inndata Øvrige'!V51</f>
        <v>0</v>
      </c>
      <c r="Q53" s="333">
        <f>SUM(F53:J53,L53)*'Tillegg- Inndata Øvrige'!K51</f>
        <v>0</v>
      </c>
      <c r="R53" s="333">
        <f>(K53+M53)*'Tillegg- Inndata Øvrige'!K51</f>
        <v>0</v>
      </c>
      <c r="S53" s="333">
        <f>SUM(N53:P53)*'Tillegg- Inndata Øvrige'!K51</f>
        <v>0</v>
      </c>
      <c r="T53" s="334">
        <f>('Tillegg- Inndata Øvrige'!G51+'Tillegg- Inndata Øvrige'!O51+'Tillegg- Inndata Øvrige'!S51)*'Tillegg- Inndata Øvrige'!K51*Transport_utslipp_til_avfallshånderting_per_kg</f>
        <v>0</v>
      </c>
      <c r="U53" s="330">
        <f>IF('Tillegg- Inndata Øvrige'!E51 = 0, 0, 1.833*'Tillegg- Inndata Øvrige'!X51*'Tillegg- Inndata Øvrige'!K51*('Tillegg- Inndata Øvrige'!G51*('Tillegg- Inndata Øvrige'!L51*0.5+'Tillegg- Inndata Øvrige'!M51*0.8) + (12/44)*('Tillegg- Inndata Øvrige'!O51*'Tillegg- Inndata Øvrige'!Q51+'Tillegg- Inndata Øvrige'!S51*'Tillegg- Inndata Øvrige'!U51)))</f>
        <v>0</v>
      </c>
      <c r="V53" s="335">
        <f>IF('Tillegg- Inndata Øvrige'!G51 = 0, 0,  MAX(-SUM(F53:J53,L53)*'Tillegg- Inndata Øvrige'!L51, -0.114*IF('Tillegg- Inndata Øvrige'!H51 &gt; 49, _xlfn.XLOOKUP(49, År_etter_ferdigstillelse, karbon_opptak_faktor), _xlfn.XLOOKUP('Tillegg- Inndata Øvrige'!H51, År_etter_ferdigstillelse, karbon_opptak_faktor))*'Tillegg- Inndata Øvrige'!G51*'Tillegg- Inndata Øvrige'!L51*0.5))</f>
        <v>0</v>
      </c>
      <c r="W53" s="333">
        <f>IF('Tillegg- Inndata Øvrige'!G51=0,0,IF('Tillegg- Inndata Øvrige'!H51&gt;49,-0.064*'Tillegg- Inndata Øvrige'!G51*'Tillegg- Inndata Øvrige'!N51,-0.037*'Tillegg- Inndata Øvrige'!J51*'Tillegg- Inndata Øvrige'!N51))</f>
        <v>0</v>
      </c>
      <c r="X53" s="331" cm="1">
        <f t="array" ref="X53">IF(SUM(F53:J53,L53)=0, 0, SUM(F53:J53,L53)*(1+'Tillegg-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Y53" s="330" cm="1">
        <f t="array" ref="Y53">IF(X53=0, 0, SUM(K53,M53)*(1+'Tillegg-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Z53" s="336" cm="1">
        <f t="array" ref="Z53">IF(X53=0, 0, SUM(N53:P53)*(1+'Tillegg-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A53" s="336" cm="1">
        <f t="array" ref="AA53">IF(X53=0, 0, ('Tillegg- Inndata Øvrige'!G51+'Tillegg- Inndata Øvrige'!O51+'Tillegg- Inndata Øvrige'!S51)*(1+'Tillegg- Inndata Øvrige'!K51)*Transport_utslipp_til_avfallshånderting_per_kg*IF('Tillegg-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B53" s="334" cm="1">
        <f t="array" ref="AB53">IF(X53=0, 0,1.833*'Tillegg- Inndata Øvrige'!J51*('Tillegg- Inndata Øvrige'!X51*_xlfn.XLOOKUP(IF('Tillegg- Inndata Øvrige'!I51&lt;2,'Tillegg- Inndata Øvrige'!H51,'Tillegg- Inndata Øvrige'!H51*2), År_etter_ferdigstillelse, Faktorer!$Z$7:$Z$58))*('Tillegg- Inndata Øvrige'!L51*0.5+'Tillegg- Inndata Øvrige'!M51*0.8)*_xlfn.XLOOKUP(IF('Tillegg- Inndata Øvrige'!I51&lt;2,'Tillegg- Inndata Øvrige'!H51,'Tillegg- Inndata Øvrige'!H51*2), År_etter_ferdigstillelse,  IF(LEFT('Tillegg- Inndata Øvrige'!B51, 2)= 49, f_tid_x_f_tek_d_0_037, f_tid_x_f_tek_d_0_01)))</f>
        <v>0</v>
      </c>
      <c r="AC53" s="335">
        <f>IF(('Tillegg- Inndata Øvrige'!G51) = 0, 0,('Tillegg- Inndata Øvrige'!G51*((AG53+AI53)*Transport_utslipp_til_avfallshånderting_per_kg)+('Tillegg- Inndata Øvrige'!Z51*'ZERO-B Beregning'!D153)*IF('ZERO-B Beregning'!F154=0,'ZERO-B Beregning'!D154,'ZERO-B Beregning'!F154))*_xlfn.XLOOKUP(51, År_etter_ferdigstillelse, f_tid_x_f_tek_d_0_01))</f>
        <v>0</v>
      </c>
      <c r="AD53" s="337">
        <f>IF(('Tillegg- Inndata Øvrige'!G51) = 0, 0,1.833*('Tillegg- Inndata Øvrige'!G51*('Tillegg- Inndata Øvrige'!L51*0.5+'Tillegg- Inndata Øvrige'!M51*0.8)*AG53*_xlfn.XLOOKUP(51, År_etter_ferdigstillelse,  f_tid_x_f_tek_d_0_01)))</f>
        <v>0</v>
      </c>
      <c r="AE53" s="333" cm="1">
        <f t="array" ref="AE53">IF(('Tillegg- Inndata Øvrige'!G51) = 0, 0,-0.8*('Tillegg- Inndata Øvrige'!G51)*AH53*('Tillegg- Inndata Øvrige'!E51/'Tillegg- Inndata Øvrige'!G51)*_xlfn.XLOOKUP(51, År_etter_ferdigstillelse,  IF(LEFT('Tillegg- Inndata Øvrige'!B51, 2)= 49, f_tid_x_f_tek_d_0_037, f_tid_x_f_tek_d_0_01)))</f>
        <v>0</v>
      </c>
      <c r="AF53" s="338" cm="1">
        <f t="array" ref="AF53">IF(('Tillegg- Inndata Øvrige'!G51) = 0, 0,-0.1*('Tillegg- Inndata Øvrige'!G51)*AI53*('Tillegg- Inndata Øvrige'!E51/'Tillegg- Inndata Øvrige'!G51)*_xlfn.XLOOKUP(51, År_etter_ferdigstillelse,  IF(LEFT('Tillegg- Inndata Øvrige'!B51, 2)= 49, f_tid_x_f_tek_d_0_037, f_tid_x_f_tek_d_0_01)))</f>
        <v>0</v>
      </c>
      <c r="AG53" s="572">
        <f>IF(('Tillegg- Inndata Øvrige'!G51) = 0, 0,'Tillegg- Inndata Øvrige'!X51*Faktorer!$Z$58)</f>
        <v>0</v>
      </c>
      <c r="AH53" s="573">
        <f>IF(('Tillegg- Inndata Øvrige'!G51) = 0, 0,'Tillegg- Inndata Øvrige'!Z51+('Tillegg- Inndata Øvrige'!X51+'Tillegg- Inndata Øvrige'!Y51)*(1-Faktorer!$Z$58)*0.5)</f>
        <v>0</v>
      </c>
      <c r="AI53" s="574">
        <f>IF(('Tillegg- Inndata Øvrige'!G51) = 0, 0,'Tillegg- Inndata Øvrige'!AA51+('Tillegg- Inndata Øvrige'!X51+'Tillegg- Inndata Øvrige'!Y51)*(1-Faktorer!$Z$58)*0.5)</f>
        <v>0</v>
      </c>
      <c r="AK53" s="90">
        <f t="shared" si="1"/>
        <v>0</v>
      </c>
      <c r="AL53" s="91">
        <f>'Tillegg- Res. Det. Øvrige'!N53</f>
        <v>0</v>
      </c>
      <c r="AM53" s="91" t="str">
        <f>IF(F53=0,"",('Tillegg- Inndata Øvrige'!E53+'Tillegg- Inndata Øvrige'!F53)*ROUNDDOWN('Tillegg- Inndata Øvrige'!I53,0)*(1+'Tillegg- Inndata Øvrige'!K53))</f>
        <v/>
      </c>
      <c r="AO53" s="1"/>
    </row>
    <row r="54" spans="2:41">
      <c r="B54" s="327">
        <f>'Tillegg- Inndata Øvrige'!B52</f>
        <v>0</v>
      </c>
      <c r="C54" s="327">
        <f>'Tillegg- Inndata Øvrige'!C52</f>
        <v>0</v>
      </c>
      <c r="D54" s="327">
        <f>'Tillegg- Inndata Øvrige'!D52</f>
        <v>0</v>
      </c>
      <c r="E54" s="421" cm="1">
        <f t="array" ref="E54">SUM(IFERROR(F54:AF54,0))</f>
        <v>0</v>
      </c>
      <c r="F54" s="330">
        <f>'Tillegg- Inndata Øvrige'!E52</f>
        <v>0</v>
      </c>
      <c r="G54" s="330">
        <f>IF('Tillegg- Inndata Øvrige'!AB52="Ja", -0.8*$F54, 0)</f>
        <v>0</v>
      </c>
      <c r="H54" s="330">
        <f>IF('Tillegg- Inndata Øvrige'!AC52="Ja", -0.4*$F54, 0)</f>
        <v>0</v>
      </c>
      <c r="I54" s="330">
        <f>IF('Tillegg- Inndata Øvrige'!AD52="Ja", -1*$F54, 0)</f>
        <v>0</v>
      </c>
      <c r="J54" s="330">
        <f>'Tillegg- Inndata Øvrige'!O52*'Tillegg- Inndata Øvrige'!P52</f>
        <v>0</v>
      </c>
      <c r="K54" s="330">
        <f>MAX(-0.75*(SUM('Tillegg- Res. Det. Øvrige'!F54:J54)),-'Tillegg- Inndata Øvrige'!O52*'Tillegg- Inndata Øvrige'!Q52)</f>
        <v>0</v>
      </c>
      <c r="L54" s="330">
        <f>'Tillegg- Inndata Øvrige'!S52*'Tillegg- Inndata Øvrige'!T52</f>
        <v>0</v>
      </c>
      <c r="M54" s="330">
        <f>MAX(-0.75*(SUM('Tillegg- Res. Det. Øvrige'!F54:I54,L54)),-'Tillegg- Inndata Øvrige'!S52*'Tillegg- Inndata Øvrige'!U52)</f>
        <v>0</v>
      </c>
      <c r="N54" s="331">
        <f>'Tillegg- Inndata Øvrige'!F52</f>
        <v>0</v>
      </c>
      <c r="O54" s="330">
        <f>'Tillegg- Inndata Øvrige'!O52*'Tillegg- Inndata Øvrige'!R52</f>
        <v>0</v>
      </c>
      <c r="P54" s="332">
        <f>'Tillegg- Inndata Øvrige'!S52*'Tillegg- Inndata Øvrige'!V52</f>
        <v>0</v>
      </c>
      <c r="Q54" s="333">
        <f>SUM(F54:J54,L54)*'Tillegg- Inndata Øvrige'!K52</f>
        <v>0</v>
      </c>
      <c r="R54" s="333">
        <f>(K54+M54)*'Tillegg- Inndata Øvrige'!K52</f>
        <v>0</v>
      </c>
      <c r="S54" s="333">
        <f>SUM(N54:P54)*'Tillegg- Inndata Øvrige'!K52</f>
        <v>0</v>
      </c>
      <c r="T54" s="334">
        <f>('Tillegg- Inndata Øvrige'!G52+'Tillegg- Inndata Øvrige'!O52+'Tillegg- Inndata Øvrige'!S52)*'Tillegg- Inndata Øvrige'!K52*Transport_utslipp_til_avfallshånderting_per_kg</f>
        <v>0</v>
      </c>
      <c r="U54" s="330">
        <f>IF('Tillegg- Inndata Øvrige'!E52 = 0, 0, 1.833*'Tillegg- Inndata Øvrige'!X52*'Tillegg- Inndata Øvrige'!K52*('Tillegg- Inndata Øvrige'!G52*('Tillegg- Inndata Øvrige'!L52*0.5+'Tillegg- Inndata Øvrige'!M52*0.8) + (12/44)*('Tillegg- Inndata Øvrige'!O52*'Tillegg- Inndata Øvrige'!Q52+'Tillegg- Inndata Øvrige'!S52*'Tillegg- Inndata Øvrige'!U52)))</f>
        <v>0</v>
      </c>
      <c r="V54" s="335">
        <f>IF('Tillegg- Inndata Øvrige'!G52 = 0, 0,  MAX(-SUM(F54:J54,L54)*'Tillegg- Inndata Øvrige'!L52, -0.114*IF('Tillegg- Inndata Øvrige'!H52 &gt; 49, _xlfn.XLOOKUP(49, År_etter_ferdigstillelse, karbon_opptak_faktor), _xlfn.XLOOKUP('Tillegg- Inndata Øvrige'!H52, År_etter_ferdigstillelse, karbon_opptak_faktor))*'Tillegg- Inndata Øvrige'!G52*'Tillegg- Inndata Øvrige'!L52*0.5))</f>
        <v>0</v>
      </c>
      <c r="W54" s="333">
        <f>IF('Tillegg- Inndata Øvrige'!G52=0,0,IF('Tillegg- Inndata Øvrige'!H52&gt;49,-0.064*'Tillegg- Inndata Øvrige'!G52*'Tillegg- Inndata Øvrige'!N52,-0.037*'Tillegg- Inndata Øvrige'!J52*'Tillegg- Inndata Øvrige'!N52))</f>
        <v>0</v>
      </c>
      <c r="X54" s="331" cm="1">
        <f t="array" ref="X54">IF(SUM(F54:J54,L54)=0, 0, SUM(F54:J54,L54)*(1+'Tillegg-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Y54" s="330" cm="1">
        <f t="array" ref="Y54">IF(X54=0, 0, SUM(K54,M54)*(1+'Tillegg-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Z54" s="336" cm="1">
        <f t="array" ref="Z54">IF(X54=0, 0, SUM(N54:P54)*(1+'Tillegg-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A54" s="336" cm="1">
        <f t="array" ref="AA54">IF(X54=0, 0, ('Tillegg- Inndata Øvrige'!G52+'Tillegg- Inndata Øvrige'!O52+'Tillegg- Inndata Øvrige'!S52)*(1+'Tillegg- Inndata Øvrige'!K52)*Transport_utslipp_til_avfallshånderting_per_kg*IF('Tillegg-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B54" s="334" cm="1">
        <f t="array" ref="AB54">IF(X54=0, 0,1.833*'Tillegg- Inndata Øvrige'!J52*('Tillegg- Inndata Øvrige'!X52*_xlfn.XLOOKUP(IF('Tillegg- Inndata Øvrige'!I52&lt;2,'Tillegg- Inndata Øvrige'!H52,'Tillegg- Inndata Øvrige'!H52*2), År_etter_ferdigstillelse, Faktorer!$Z$7:$Z$58))*('Tillegg- Inndata Øvrige'!L52*0.5+'Tillegg- Inndata Øvrige'!M52*0.8)*_xlfn.XLOOKUP(IF('Tillegg- Inndata Øvrige'!I52&lt;2,'Tillegg- Inndata Øvrige'!H52,'Tillegg- Inndata Øvrige'!H52*2), År_etter_ferdigstillelse,  IF(LEFT('Tillegg- Inndata Øvrige'!B52, 2)= 49, f_tid_x_f_tek_d_0_037, f_tid_x_f_tek_d_0_01)))</f>
        <v>0</v>
      </c>
      <c r="AC54" s="335">
        <f>IF(('Tillegg- Inndata Øvrige'!G52) = 0, 0,('Tillegg- Inndata Øvrige'!G52*((AG54+AI54)*Transport_utslipp_til_avfallshånderting_per_kg)+('Tillegg- Inndata Øvrige'!Z52*'ZERO-B Beregning'!D154)*IF('ZERO-B Beregning'!F155=0,'ZERO-B Beregning'!D155,'ZERO-B Beregning'!F155))*_xlfn.XLOOKUP(51, År_etter_ferdigstillelse, f_tid_x_f_tek_d_0_01))</f>
        <v>0</v>
      </c>
      <c r="AD54" s="337">
        <f>IF(('Tillegg- Inndata Øvrige'!G52) = 0, 0,1.833*('Tillegg- Inndata Øvrige'!G52*('Tillegg- Inndata Øvrige'!L52*0.5+'Tillegg- Inndata Øvrige'!M52*0.8)*AG54*_xlfn.XLOOKUP(51, År_etter_ferdigstillelse,  f_tid_x_f_tek_d_0_01)))</f>
        <v>0</v>
      </c>
      <c r="AE54" s="333" cm="1">
        <f t="array" ref="AE54">IF(('Tillegg- Inndata Øvrige'!G52) = 0, 0,-0.8*('Tillegg- Inndata Øvrige'!G52)*AH54*('Tillegg- Inndata Øvrige'!E52/'Tillegg- Inndata Øvrige'!G52)*_xlfn.XLOOKUP(51, År_etter_ferdigstillelse,  IF(LEFT('Tillegg- Inndata Øvrige'!B52, 2)= 49, f_tid_x_f_tek_d_0_037, f_tid_x_f_tek_d_0_01)))</f>
        <v>0</v>
      </c>
      <c r="AF54" s="338" cm="1">
        <f t="array" ref="AF54">IF(('Tillegg- Inndata Øvrige'!G52) = 0, 0,-0.1*('Tillegg- Inndata Øvrige'!G52)*AI54*('Tillegg- Inndata Øvrige'!E52/'Tillegg- Inndata Øvrige'!G52)*_xlfn.XLOOKUP(51, År_etter_ferdigstillelse,  IF(LEFT('Tillegg- Inndata Øvrige'!B52, 2)= 49, f_tid_x_f_tek_d_0_037, f_tid_x_f_tek_d_0_01)))</f>
        <v>0</v>
      </c>
      <c r="AG54" s="572">
        <f>IF(('Tillegg- Inndata Øvrige'!G52) = 0, 0,'Tillegg- Inndata Øvrige'!X52*Faktorer!$Z$58)</f>
        <v>0</v>
      </c>
      <c r="AH54" s="573">
        <f>IF(('Tillegg- Inndata Øvrige'!G52) = 0, 0,'Tillegg- Inndata Øvrige'!Z52+('Tillegg- Inndata Øvrige'!X52+'Tillegg- Inndata Øvrige'!Y52)*(1-Faktorer!$Z$58)*0.5)</f>
        <v>0</v>
      </c>
      <c r="AI54" s="574">
        <f>IF(('Tillegg- Inndata Øvrige'!G52) = 0, 0,'Tillegg- Inndata Øvrige'!AA52+('Tillegg- Inndata Øvrige'!X52+'Tillegg- Inndata Øvrige'!Y52)*(1-Faktorer!$Z$58)*0.5)</f>
        <v>0</v>
      </c>
      <c r="AK54" s="90">
        <f t="shared" si="1"/>
        <v>0</v>
      </c>
      <c r="AL54" s="91">
        <f>'Tillegg- Res. Det. Øvrige'!N54</f>
        <v>0</v>
      </c>
      <c r="AM54" s="91" t="str">
        <f>IF(F54=0,"",('Tillegg- Inndata Øvrige'!E54+'Tillegg- Inndata Øvrige'!F54)*ROUNDDOWN('Tillegg- Inndata Øvrige'!I54,0)*(1+'Tillegg- Inndata Øvrige'!K54))</f>
        <v/>
      </c>
      <c r="AO54" s="1"/>
    </row>
    <row r="55" spans="2:41">
      <c r="B55" s="327">
        <f>'Tillegg- Inndata Øvrige'!B53</f>
        <v>0</v>
      </c>
      <c r="C55" s="327">
        <f>'Tillegg- Inndata Øvrige'!C53</f>
        <v>0</v>
      </c>
      <c r="D55" s="327">
        <f>'Tillegg- Inndata Øvrige'!D53</f>
        <v>0</v>
      </c>
      <c r="E55" s="421" cm="1">
        <f t="array" ref="E55">SUM(IFERROR(F55:AF55,0))</f>
        <v>0</v>
      </c>
      <c r="F55" s="330">
        <f>'Tillegg- Inndata Øvrige'!E53</f>
        <v>0</v>
      </c>
      <c r="G55" s="330">
        <f>IF('Tillegg- Inndata Øvrige'!AB53="Ja", -0.8*$F55, 0)</f>
        <v>0</v>
      </c>
      <c r="H55" s="330">
        <f>IF('Tillegg- Inndata Øvrige'!AC53="Ja", -0.4*$F55, 0)</f>
        <v>0</v>
      </c>
      <c r="I55" s="330">
        <f>IF('Tillegg- Inndata Øvrige'!AD53="Ja", -1*$F55, 0)</f>
        <v>0</v>
      </c>
      <c r="J55" s="330">
        <f>'Tillegg- Inndata Øvrige'!O53*'Tillegg- Inndata Øvrige'!P53</f>
        <v>0</v>
      </c>
      <c r="K55" s="330">
        <f>MAX(-0.75*(SUM('Tillegg- Res. Det. Øvrige'!F55:J55)),-'Tillegg- Inndata Øvrige'!O53*'Tillegg- Inndata Øvrige'!Q53)</f>
        <v>0</v>
      </c>
      <c r="L55" s="330">
        <f>'Tillegg- Inndata Øvrige'!S53*'Tillegg- Inndata Øvrige'!T53</f>
        <v>0</v>
      </c>
      <c r="M55" s="330">
        <f>MAX(-0.75*(SUM('Tillegg- Res. Det. Øvrige'!F55:I55,L55)),-'Tillegg- Inndata Øvrige'!S53*'Tillegg- Inndata Øvrige'!U53)</f>
        <v>0</v>
      </c>
      <c r="N55" s="331">
        <f>'Tillegg- Inndata Øvrige'!F53</f>
        <v>0</v>
      </c>
      <c r="O55" s="330">
        <f>'Tillegg- Inndata Øvrige'!O53*'Tillegg- Inndata Øvrige'!R53</f>
        <v>0</v>
      </c>
      <c r="P55" s="332">
        <f>'Tillegg- Inndata Øvrige'!S53*'Tillegg- Inndata Øvrige'!V53</f>
        <v>0</v>
      </c>
      <c r="Q55" s="333">
        <f>SUM(F55:J55,L55)*'Tillegg- Inndata Øvrige'!K53</f>
        <v>0</v>
      </c>
      <c r="R55" s="333">
        <f>(K55+M55)*'Tillegg- Inndata Øvrige'!K53</f>
        <v>0</v>
      </c>
      <c r="S55" s="333">
        <f>SUM(N55:P55)*'Tillegg- Inndata Øvrige'!K53</f>
        <v>0</v>
      </c>
      <c r="T55" s="334">
        <f>('Tillegg- Inndata Øvrige'!G53+'Tillegg- Inndata Øvrige'!O53+'Tillegg- Inndata Øvrige'!S53)*'Tillegg- Inndata Øvrige'!K53*Transport_utslipp_til_avfallshånderting_per_kg</f>
        <v>0</v>
      </c>
      <c r="U55" s="330">
        <f>IF('Tillegg- Inndata Øvrige'!E53 = 0, 0, 1.833*'Tillegg- Inndata Øvrige'!X53*'Tillegg- Inndata Øvrige'!K53*('Tillegg- Inndata Øvrige'!G53*('Tillegg- Inndata Øvrige'!L53*0.5+'Tillegg- Inndata Øvrige'!M53*0.8) + (12/44)*('Tillegg- Inndata Øvrige'!O53*'Tillegg- Inndata Øvrige'!Q53+'Tillegg- Inndata Øvrige'!S53*'Tillegg- Inndata Øvrige'!U53)))</f>
        <v>0</v>
      </c>
      <c r="V55" s="335">
        <f>IF('Tillegg- Inndata Øvrige'!G53 = 0, 0,  MAX(-SUM(F55:J55,L55)*'Tillegg- Inndata Øvrige'!L53, -0.114*IF('Tillegg- Inndata Øvrige'!H53 &gt; 49, _xlfn.XLOOKUP(49, År_etter_ferdigstillelse, karbon_opptak_faktor), _xlfn.XLOOKUP('Tillegg- Inndata Øvrige'!H53, År_etter_ferdigstillelse, karbon_opptak_faktor))*'Tillegg- Inndata Øvrige'!G53*'Tillegg- Inndata Øvrige'!L53*0.5))</f>
        <v>0</v>
      </c>
      <c r="W55" s="333">
        <f>IF('Tillegg- Inndata Øvrige'!G53=0,0,IF('Tillegg- Inndata Øvrige'!H53&gt;49,-0.064*'Tillegg- Inndata Øvrige'!G53*'Tillegg- Inndata Øvrige'!N53,-0.037*'Tillegg- Inndata Øvrige'!J53*'Tillegg- Inndata Øvrige'!N53))</f>
        <v>0</v>
      </c>
      <c r="X55" s="331" cm="1">
        <f t="array" ref="X55">IF(SUM(F55:J55,L55)=0, 0, SUM(F55:J55,L55)*(1+'Tillegg-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Y55" s="330" cm="1">
        <f t="array" ref="Y55">IF(X55=0, 0, SUM(K55,M55)*(1+'Tillegg-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Z55" s="336" cm="1">
        <f t="array" ref="Z55">IF(X55=0, 0, SUM(N55:P55)*(1+'Tillegg-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A55" s="336" cm="1">
        <f t="array" ref="AA55">IF(X55=0, 0, ('Tillegg- Inndata Øvrige'!G53+'Tillegg- Inndata Øvrige'!O53+'Tillegg- Inndata Øvrige'!S53)*(1+'Tillegg- Inndata Øvrige'!K53)*Transport_utslipp_til_avfallshånderting_per_kg*IF('Tillegg-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B55" s="334" cm="1">
        <f t="array" ref="AB55">IF(X55=0, 0,1.833*'Tillegg- Inndata Øvrige'!J53*('Tillegg- Inndata Øvrige'!X53*_xlfn.XLOOKUP(IF('Tillegg- Inndata Øvrige'!I53&lt;2,'Tillegg- Inndata Øvrige'!H53,'Tillegg- Inndata Øvrige'!H53*2), År_etter_ferdigstillelse, Faktorer!$Z$7:$Z$58))*('Tillegg- Inndata Øvrige'!L53*0.5+'Tillegg- Inndata Øvrige'!M53*0.8)*_xlfn.XLOOKUP(IF('Tillegg- Inndata Øvrige'!I53&lt;2,'Tillegg- Inndata Øvrige'!H53,'Tillegg- Inndata Øvrige'!H53*2), År_etter_ferdigstillelse,  IF(LEFT('Tillegg- Inndata Øvrige'!B53, 2)= 49, f_tid_x_f_tek_d_0_037, f_tid_x_f_tek_d_0_01)))</f>
        <v>0</v>
      </c>
      <c r="AC55" s="335">
        <f>IF(('Tillegg- Inndata Øvrige'!G53) = 0, 0,('Tillegg- Inndata Øvrige'!G53*((AG55+AI55)*Transport_utslipp_til_avfallshånderting_per_kg)+('Tillegg- Inndata Øvrige'!Z53*'ZERO-B Beregning'!D155)*IF('ZERO-B Beregning'!F156=0,'ZERO-B Beregning'!D156,'ZERO-B Beregning'!F156))*_xlfn.XLOOKUP(51, År_etter_ferdigstillelse, f_tid_x_f_tek_d_0_01))</f>
        <v>0</v>
      </c>
      <c r="AD55" s="337">
        <f>IF(('Tillegg- Inndata Øvrige'!G53) = 0, 0,1.833*('Tillegg- Inndata Øvrige'!G53*('Tillegg- Inndata Øvrige'!L53*0.5+'Tillegg- Inndata Øvrige'!M53*0.8)*AG55*_xlfn.XLOOKUP(51, År_etter_ferdigstillelse,  f_tid_x_f_tek_d_0_01)))</f>
        <v>0</v>
      </c>
      <c r="AE55" s="333" cm="1">
        <f t="array" ref="AE55">IF(('Tillegg- Inndata Øvrige'!G53) = 0, 0,-0.8*('Tillegg- Inndata Øvrige'!G53)*AH55*('Tillegg- Inndata Øvrige'!E53/'Tillegg- Inndata Øvrige'!G53)*_xlfn.XLOOKUP(51, År_etter_ferdigstillelse,  IF(LEFT('Tillegg- Inndata Øvrige'!B53, 2)= 49, f_tid_x_f_tek_d_0_037, f_tid_x_f_tek_d_0_01)))</f>
        <v>0</v>
      </c>
      <c r="AF55" s="338" cm="1">
        <f t="array" ref="AF55">IF(('Tillegg- Inndata Øvrige'!G53) = 0, 0,-0.1*('Tillegg- Inndata Øvrige'!G53)*AI55*('Tillegg- Inndata Øvrige'!E53/'Tillegg- Inndata Øvrige'!G53)*_xlfn.XLOOKUP(51, År_etter_ferdigstillelse,  IF(LEFT('Tillegg- Inndata Øvrige'!B53, 2)= 49, f_tid_x_f_tek_d_0_037, f_tid_x_f_tek_d_0_01)))</f>
        <v>0</v>
      </c>
      <c r="AG55" s="572">
        <f>IF(('Tillegg- Inndata Øvrige'!G53) = 0, 0,'Tillegg- Inndata Øvrige'!X53*Faktorer!$Z$58)</f>
        <v>0</v>
      </c>
      <c r="AH55" s="573">
        <f>IF(('Tillegg- Inndata Øvrige'!G53) = 0, 0,'Tillegg- Inndata Øvrige'!Z53+('Tillegg- Inndata Øvrige'!X53+'Tillegg- Inndata Øvrige'!Y53)*(1-Faktorer!$Z$58)*0.5)</f>
        <v>0</v>
      </c>
      <c r="AI55" s="574">
        <f>IF(('Tillegg- Inndata Øvrige'!G53) = 0, 0,'Tillegg- Inndata Øvrige'!AA53+('Tillegg- Inndata Øvrige'!X53+'Tillegg- Inndata Øvrige'!Y53)*(1-Faktorer!$Z$58)*0.5)</f>
        <v>0</v>
      </c>
      <c r="AK55" s="90">
        <f t="shared" si="1"/>
        <v>0</v>
      </c>
      <c r="AL55" s="91">
        <f>'Tillegg- Res. Det. Øvrige'!N55</f>
        <v>0</v>
      </c>
      <c r="AM55" s="91" t="str">
        <f>IF(F55=0,"",('Tillegg- Inndata Øvrige'!E55+'Tillegg- Inndata Øvrige'!F55)*ROUNDDOWN('Tillegg- Inndata Øvrige'!I55,0)*(1+'Tillegg- Inndata Øvrige'!K55))</f>
        <v/>
      </c>
      <c r="AO55" s="1"/>
    </row>
    <row r="56" spans="2:41">
      <c r="B56" s="327">
        <f>'Tillegg- Inndata Øvrige'!B54</f>
        <v>0</v>
      </c>
      <c r="C56" s="327">
        <f>'Tillegg- Inndata Øvrige'!C54</f>
        <v>0</v>
      </c>
      <c r="D56" s="327">
        <f>'Tillegg- Inndata Øvrige'!D54</f>
        <v>0</v>
      </c>
      <c r="E56" s="421" cm="1">
        <f t="array" ref="E56">SUM(IFERROR(F56:AF56,0))</f>
        <v>0</v>
      </c>
      <c r="F56" s="330">
        <f>'Tillegg- Inndata Øvrige'!E54</f>
        <v>0</v>
      </c>
      <c r="G56" s="330">
        <f>IF('Tillegg- Inndata Øvrige'!AB54="Ja", -0.8*$F56, 0)</f>
        <v>0</v>
      </c>
      <c r="H56" s="330">
        <f>IF('Tillegg- Inndata Øvrige'!AC54="Ja", -0.4*$F56, 0)</f>
        <v>0</v>
      </c>
      <c r="I56" s="330">
        <f>IF('Tillegg- Inndata Øvrige'!AD54="Ja", -1*$F56, 0)</f>
        <v>0</v>
      </c>
      <c r="J56" s="330">
        <f>'Tillegg- Inndata Øvrige'!O54*'Tillegg- Inndata Øvrige'!P54</f>
        <v>0</v>
      </c>
      <c r="K56" s="330">
        <f>MAX(-0.75*(SUM('Tillegg- Res. Det. Øvrige'!F56:J56)),-'Tillegg- Inndata Øvrige'!O54*'Tillegg- Inndata Øvrige'!Q54)</f>
        <v>0</v>
      </c>
      <c r="L56" s="330">
        <f>'Tillegg- Inndata Øvrige'!S54*'Tillegg- Inndata Øvrige'!T54</f>
        <v>0</v>
      </c>
      <c r="M56" s="330">
        <f>MAX(-0.75*(SUM('Tillegg- Res. Det. Øvrige'!F56:I56,L56)),-'Tillegg- Inndata Øvrige'!S54*'Tillegg- Inndata Øvrige'!U54)</f>
        <v>0</v>
      </c>
      <c r="N56" s="331">
        <f>'Tillegg- Inndata Øvrige'!F54</f>
        <v>0</v>
      </c>
      <c r="O56" s="330">
        <f>'Tillegg- Inndata Øvrige'!O54*'Tillegg- Inndata Øvrige'!R54</f>
        <v>0</v>
      </c>
      <c r="P56" s="332">
        <f>'Tillegg- Inndata Øvrige'!S54*'Tillegg- Inndata Øvrige'!V54</f>
        <v>0</v>
      </c>
      <c r="Q56" s="333">
        <f>SUM(F56:J56,L56)*'Tillegg- Inndata Øvrige'!K54</f>
        <v>0</v>
      </c>
      <c r="R56" s="333">
        <f>(K56+M56)*'Tillegg- Inndata Øvrige'!K54</f>
        <v>0</v>
      </c>
      <c r="S56" s="333">
        <f>SUM(N56:P56)*'Tillegg- Inndata Øvrige'!K54</f>
        <v>0</v>
      </c>
      <c r="T56" s="334">
        <f>('Tillegg- Inndata Øvrige'!G54+'Tillegg- Inndata Øvrige'!O54+'Tillegg- Inndata Øvrige'!S54)*'Tillegg- Inndata Øvrige'!K54*Transport_utslipp_til_avfallshånderting_per_kg</f>
        <v>0</v>
      </c>
      <c r="U56" s="330">
        <f>IF('Tillegg- Inndata Øvrige'!E54 = 0, 0, 1.833*'Tillegg- Inndata Øvrige'!X54*'Tillegg- Inndata Øvrige'!K54*('Tillegg- Inndata Øvrige'!G54*('Tillegg- Inndata Øvrige'!L54*0.5+'Tillegg- Inndata Øvrige'!M54*0.8) + (12/44)*('Tillegg- Inndata Øvrige'!O54*'Tillegg- Inndata Øvrige'!Q54+'Tillegg- Inndata Øvrige'!S54*'Tillegg- Inndata Øvrige'!U54)))</f>
        <v>0</v>
      </c>
      <c r="V56" s="335">
        <f>IF('Tillegg- Inndata Øvrige'!G54 = 0, 0,  MAX(-SUM(F56:J56,L56)*'Tillegg- Inndata Øvrige'!L54, -0.114*IF('Tillegg- Inndata Øvrige'!H54 &gt; 49, _xlfn.XLOOKUP(49, År_etter_ferdigstillelse, karbon_opptak_faktor), _xlfn.XLOOKUP('Tillegg- Inndata Øvrige'!H54, År_etter_ferdigstillelse, karbon_opptak_faktor))*'Tillegg- Inndata Øvrige'!G54*'Tillegg- Inndata Øvrige'!L54*0.5))</f>
        <v>0</v>
      </c>
      <c r="W56" s="333">
        <f>IF('Tillegg- Inndata Øvrige'!G54=0,0,IF('Tillegg- Inndata Øvrige'!H54&gt;49,-0.064*'Tillegg- Inndata Øvrige'!G54*'Tillegg- Inndata Øvrige'!N54,-0.037*'Tillegg- Inndata Øvrige'!J54*'Tillegg- Inndata Øvrige'!N54))</f>
        <v>0</v>
      </c>
      <c r="X56" s="331" cm="1">
        <f t="array" ref="X56">IF(SUM(F56:J56,L56)=0, 0, SUM(F56:J56,L56)*(1+'Tillegg-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Y56" s="330" cm="1">
        <f t="array" ref="Y56">IF(X56=0, 0, SUM(K56,M56)*(1+'Tillegg-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Z56" s="336" cm="1">
        <f t="array" ref="Z56">IF(X56=0, 0, SUM(N56:P56)*(1+'Tillegg-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A56" s="336" cm="1">
        <f t="array" ref="AA56">IF(X56=0, 0, ('Tillegg- Inndata Øvrige'!G54+'Tillegg- Inndata Øvrige'!O54+'Tillegg- Inndata Øvrige'!S54)*(1+'Tillegg- Inndata Øvrige'!K54)*Transport_utslipp_til_avfallshånderting_per_kg*IF('Tillegg-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B56" s="334" cm="1">
        <f t="array" ref="AB56">IF(X56=0, 0,1.833*'Tillegg- Inndata Øvrige'!J54*('Tillegg- Inndata Øvrige'!X54*_xlfn.XLOOKUP(IF('Tillegg- Inndata Øvrige'!I54&lt;2,'Tillegg- Inndata Øvrige'!H54,'Tillegg- Inndata Øvrige'!H54*2), År_etter_ferdigstillelse, Faktorer!$Z$7:$Z$58))*('Tillegg- Inndata Øvrige'!L54*0.5+'Tillegg- Inndata Øvrige'!M54*0.8)*_xlfn.XLOOKUP(IF('Tillegg- Inndata Øvrige'!I54&lt;2,'Tillegg- Inndata Øvrige'!H54,'Tillegg- Inndata Øvrige'!H54*2), År_etter_ferdigstillelse,  IF(LEFT('Tillegg- Inndata Øvrige'!B54, 2)= 49, f_tid_x_f_tek_d_0_037, f_tid_x_f_tek_d_0_01)))</f>
        <v>0</v>
      </c>
      <c r="AC56" s="335">
        <f>IF(('Tillegg- Inndata Øvrige'!G54) = 0, 0,('Tillegg- Inndata Øvrige'!G54*((AG56+AI56)*Transport_utslipp_til_avfallshånderting_per_kg)+('Tillegg- Inndata Øvrige'!Z54*'ZERO-B Beregning'!D156)*IF('ZERO-B Beregning'!F157=0,'ZERO-B Beregning'!D157,'ZERO-B Beregning'!F157))*_xlfn.XLOOKUP(51, År_etter_ferdigstillelse, f_tid_x_f_tek_d_0_01))</f>
        <v>0</v>
      </c>
      <c r="AD56" s="337">
        <f>IF(('Tillegg- Inndata Øvrige'!G54) = 0, 0,1.833*('Tillegg- Inndata Øvrige'!G54*('Tillegg- Inndata Øvrige'!L54*0.5+'Tillegg- Inndata Øvrige'!M54*0.8)*AG56*_xlfn.XLOOKUP(51, År_etter_ferdigstillelse,  f_tid_x_f_tek_d_0_01)))</f>
        <v>0</v>
      </c>
      <c r="AE56" s="333" cm="1">
        <f t="array" ref="AE56">IF(('Tillegg- Inndata Øvrige'!G54) = 0, 0,-0.8*('Tillegg- Inndata Øvrige'!G54)*AH56*('Tillegg- Inndata Øvrige'!E54/'Tillegg- Inndata Øvrige'!G54)*_xlfn.XLOOKUP(51, År_etter_ferdigstillelse,  IF(LEFT('Tillegg- Inndata Øvrige'!B54, 2)= 49, f_tid_x_f_tek_d_0_037, f_tid_x_f_tek_d_0_01)))</f>
        <v>0</v>
      </c>
      <c r="AF56" s="338" cm="1">
        <f t="array" ref="AF56">IF(('Tillegg- Inndata Øvrige'!G54) = 0, 0,-0.1*('Tillegg- Inndata Øvrige'!G54)*AI56*('Tillegg- Inndata Øvrige'!E54/'Tillegg- Inndata Øvrige'!G54)*_xlfn.XLOOKUP(51, År_etter_ferdigstillelse,  IF(LEFT('Tillegg- Inndata Øvrige'!B54, 2)= 49, f_tid_x_f_tek_d_0_037, f_tid_x_f_tek_d_0_01)))</f>
        <v>0</v>
      </c>
      <c r="AG56" s="572">
        <f>IF(('Tillegg- Inndata Øvrige'!G54) = 0, 0,'Tillegg- Inndata Øvrige'!X54*Faktorer!$Z$58)</f>
        <v>0</v>
      </c>
      <c r="AH56" s="573">
        <f>IF(('Tillegg- Inndata Øvrige'!G54) = 0, 0,'Tillegg- Inndata Øvrige'!Z54+('Tillegg- Inndata Øvrige'!X54+'Tillegg- Inndata Øvrige'!Y54)*(1-Faktorer!$Z$58)*0.5)</f>
        <v>0</v>
      </c>
      <c r="AI56" s="574">
        <f>IF(('Tillegg- Inndata Øvrige'!G54) = 0, 0,'Tillegg- Inndata Øvrige'!AA54+('Tillegg- Inndata Øvrige'!X54+'Tillegg- Inndata Øvrige'!Y54)*(1-Faktorer!$Z$58)*0.5)</f>
        <v>0</v>
      </c>
      <c r="AK56" s="90">
        <f t="shared" si="1"/>
        <v>0</v>
      </c>
      <c r="AL56" s="91">
        <f>'Tillegg- Res. Det. Øvrige'!N56</f>
        <v>0</v>
      </c>
      <c r="AM56" s="91" t="str">
        <f>IF(F56=0,"",('Tillegg- Inndata Øvrige'!E56+'Tillegg- Inndata Øvrige'!F56)*ROUNDDOWN('Tillegg- Inndata Øvrige'!I56,0)*(1+'Tillegg- Inndata Øvrige'!K56))</f>
        <v/>
      </c>
      <c r="AO56" s="1"/>
    </row>
    <row r="57" spans="2:41">
      <c r="B57" s="327">
        <f>'Tillegg- Inndata Øvrige'!B55</f>
        <v>0</v>
      </c>
      <c r="C57" s="327">
        <f>'Tillegg- Inndata Øvrige'!C55</f>
        <v>0</v>
      </c>
      <c r="D57" s="327">
        <f>'Tillegg- Inndata Øvrige'!D55</f>
        <v>0</v>
      </c>
      <c r="E57" s="421" cm="1">
        <f t="array" ref="E57">SUM(IFERROR(F57:AF57,0))</f>
        <v>0</v>
      </c>
      <c r="F57" s="330">
        <f>'Tillegg- Inndata Øvrige'!E55</f>
        <v>0</v>
      </c>
      <c r="G57" s="330">
        <f>IF('Tillegg- Inndata Øvrige'!AB55="Ja", -0.8*$F57, 0)</f>
        <v>0</v>
      </c>
      <c r="H57" s="330">
        <f>IF('Tillegg- Inndata Øvrige'!AC55="Ja", -0.4*$F57, 0)</f>
        <v>0</v>
      </c>
      <c r="I57" s="330">
        <f>IF('Tillegg- Inndata Øvrige'!AD55="Ja", -1*$F57, 0)</f>
        <v>0</v>
      </c>
      <c r="J57" s="330">
        <f>'Tillegg- Inndata Øvrige'!O55*'Tillegg- Inndata Øvrige'!P55</f>
        <v>0</v>
      </c>
      <c r="K57" s="330">
        <f>MAX(-0.75*(SUM('Tillegg- Res. Det. Øvrige'!F57:J57)),-'Tillegg- Inndata Øvrige'!O55*'Tillegg- Inndata Øvrige'!Q55)</f>
        <v>0</v>
      </c>
      <c r="L57" s="330">
        <f>'Tillegg- Inndata Øvrige'!S55*'Tillegg- Inndata Øvrige'!T55</f>
        <v>0</v>
      </c>
      <c r="M57" s="330">
        <f>MAX(-0.75*(SUM('Tillegg- Res. Det. Øvrige'!F57:I57,L57)),-'Tillegg- Inndata Øvrige'!S55*'Tillegg- Inndata Øvrige'!U55)</f>
        <v>0</v>
      </c>
      <c r="N57" s="331">
        <f>'Tillegg- Inndata Øvrige'!F55</f>
        <v>0</v>
      </c>
      <c r="O57" s="330">
        <f>'Tillegg- Inndata Øvrige'!O55*'Tillegg- Inndata Øvrige'!R55</f>
        <v>0</v>
      </c>
      <c r="P57" s="332">
        <f>'Tillegg- Inndata Øvrige'!S55*'Tillegg- Inndata Øvrige'!V55</f>
        <v>0</v>
      </c>
      <c r="Q57" s="333">
        <f>SUM(F57:J57,L57)*'Tillegg- Inndata Øvrige'!K55</f>
        <v>0</v>
      </c>
      <c r="R57" s="333">
        <f>(K57+M57)*'Tillegg- Inndata Øvrige'!K55</f>
        <v>0</v>
      </c>
      <c r="S57" s="333">
        <f>SUM(N57:P57)*'Tillegg- Inndata Øvrige'!K55</f>
        <v>0</v>
      </c>
      <c r="T57" s="334">
        <f>('Tillegg- Inndata Øvrige'!G55+'Tillegg- Inndata Øvrige'!O55+'Tillegg- Inndata Øvrige'!S55)*'Tillegg- Inndata Øvrige'!K55*Transport_utslipp_til_avfallshånderting_per_kg</f>
        <v>0</v>
      </c>
      <c r="U57" s="330">
        <f>IF('Tillegg- Inndata Øvrige'!E55 = 0, 0, 1.833*'Tillegg- Inndata Øvrige'!X55*'Tillegg- Inndata Øvrige'!K55*('Tillegg- Inndata Øvrige'!G55*('Tillegg- Inndata Øvrige'!L55*0.5+'Tillegg- Inndata Øvrige'!M55*0.8) + (12/44)*('Tillegg- Inndata Øvrige'!O55*'Tillegg- Inndata Øvrige'!Q55+'Tillegg- Inndata Øvrige'!S55*'Tillegg- Inndata Øvrige'!U55)))</f>
        <v>0</v>
      </c>
      <c r="V57" s="335">
        <f>IF('Tillegg- Inndata Øvrige'!G55 = 0, 0,  MAX(-SUM(F57:J57,L57)*'Tillegg- Inndata Øvrige'!L55, -0.114*IF('Tillegg- Inndata Øvrige'!H55 &gt; 49, _xlfn.XLOOKUP(49, År_etter_ferdigstillelse, karbon_opptak_faktor), _xlfn.XLOOKUP('Tillegg- Inndata Øvrige'!H55, År_etter_ferdigstillelse, karbon_opptak_faktor))*'Tillegg- Inndata Øvrige'!G55*'Tillegg- Inndata Øvrige'!L55*0.5))</f>
        <v>0</v>
      </c>
      <c r="W57" s="333">
        <f>IF('Tillegg- Inndata Øvrige'!G55=0,0,IF('Tillegg- Inndata Øvrige'!H55&gt;49,-0.064*'Tillegg- Inndata Øvrige'!G55*'Tillegg- Inndata Øvrige'!N55,-0.037*'Tillegg- Inndata Øvrige'!J55*'Tillegg- Inndata Øvrige'!N55))</f>
        <v>0</v>
      </c>
      <c r="X57" s="331" cm="1">
        <f t="array" ref="X57">IF(SUM(F57:J57,L57)=0, 0, SUM(F57:J57,L57)*(1+'Tillegg-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Y57" s="330" cm="1">
        <f t="array" ref="Y57">IF(X57=0, 0, SUM(K57,M57)*(1+'Tillegg-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Z57" s="336" cm="1">
        <f t="array" ref="Z57">IF(X57=0, 0, SUM(N57:P57)*(1+'Tillegg-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A57" s="336" cm="1">
        <f t="array" ref="AA57">IF(X57=0, 0, ('Tillegg- Inndata Øvrige'!G55+'Tillegg- Inndata Øvrige'!O55+'Tillegg- Inndata Øvrige'!S55)*(1+'Tillegg- Inndata Øvrige'!K55)*Transport_utslipp_til_avfallshånderting_per_kg*IF('Tillegg-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B57" s="334" cm="1">
        <f t="array" ref="AB57">IF(X57=0, 0,1.833*'Tillegg- Inndata Øvrige'!J55*('Tillegg- Inndata Øvrige'!X55*_xlfn.XLOOKUP(IF('Tillegg- Inndata Øvrige'!I55&lt;2,'Tillegg- Inndata Øvrige'!H55,'Tillegg- Inndata Øvrige'!H55*2), År_etter_ferdigstillelse, Faktorer!$Z$7:$Z$58))*('Tillegg- Inndata Øvrige'!L55*0.5+'Tillegg- Inndata Øvrige'!M55*0.8)*_xlfn.XLOOKUP(IF('Tillegg- Inndata Øvrige'!I55&lt;2,'Tillegg- Inndata Øvrige'!H55,'Tillegg- Inndata Øvrige'!H55*2), År_etter_ferdigstillelse,  IF(LEFT('Tillegg- Inndata Øvrige'!B55, 2)= 49, f_tid_x_f_tek_d_0_037, f_tid_x_f_tek_d_0_01)))</f>
        <v>0</v>
      </c>
      <c r="AC57" s="335">
        <f>IF(('Tillegg- Inndata Øvrige'!G55) = 0, 0,('Tillegg- Inndata Øvrige'!G55*((AG57+AI57)*Transport_utslipp_til_avfallshånderting_per_kg)+('Tillegg- Inndata Øvrige'!Z55*'ZERO-B Beregning'!D157)*IF('ZERO-B Beregning'!F158=0,'ZERO-B Beregning'!D158,'ZERO-B Beregning'!F158))*_xlfn.XLOOKUP(51, År_etter_ferdigstillelse, f_tid_x_f_tek_d_0_01))</f>
        <v>0</v>
      </c>
      <c r="AD57" s="337">
        <f>IF(('Tillegg- Inndata Øvrige'!G55) = 0, 0,1.833*('Tillegg- Inndata Øvrige'!G55*('Tillegg- Inndata Øvrige'!L55*0.5+'Tillegg- Inndata Øvrige'!M55*0.8)*AG57*_xlfn.XLOOKUP(51, År_etter_ferdigstillelse,  f_tid_x_f_tek_d_0_01)))</f>
        <v>0</v>
      </c>
      <c r="AE57" s="333" cm="1">
        <f t="array" ref="AE57">IF(('Tillegg- Inndata Øvrige'!G55) = 0, 0,-0.8*('Tillegg- Inndata Øvrige'!G55)*AH57*('Tillegg- Inndata Øvrige'!E55/'Tillegg- Inndata Øvrige'!G55)*_xlfn.XLOOKUP(51, År_etter_ferdigstillelse,  IF(LEFT('Tillegg- Inndata Øvrige'!B55, 2)= 49, f_tid_x_f_tek_d_0_037, f_tid_x_f_tek_d_0_01)))</f>
        <v>0</v>
      </c>
      <c r="AF57" s="338" cm="1">
        <f t="array" ref="AF57">IF(('Tillegg- Inndata Øvrige'!G55) = 0, 0,-0.1*('Tillegg- Inndata Øvrige'!G55)*AI57*('Tillegg- Inndata Øvrige'!E55/'Tillegg- Inndata Øvrige'!G55)*_xlfn.XLOOKUP(51, År_etter_ferdigstillelse,  IF(LEFT('Tillegg- Inndata Øvrige'!B55, 2)= 49, f_tid_x_f_tek_d_0_037, f_tid_x_f_tek_d_0_01)))</f>
        <v>0</v>
      </c>
      <c r="AG57" s="572">
        <f>IF(('Tillegg- Inndata Øvrige'!G55) = 0, 0,'Tillegg- Inndata Øvrige'!X55*Faktorer!$Z$58)</f>
        <v>0</v>
      </c>
      <c r="AH57" s="573">
        <f>IF(('Tillegg- Inndata Øvrige'!G55) = 0, 0,'Tillegg- Inndata Øvrige'!Z55+('Tillegg- Inndata Øvrige'!X55+'Tillegg- Inndata Øvrige'!Y55)*(1-Faktorer!$Z$58)*0.5)</f>
        <v>0</v>
      </c>
      <c r="AI57" s="574">
        <f>IF(('Tillegg- Inndata Øvrige'!G55) = 0, 0,'Tillegg- Inndata Øvrige'!AA55+('Tillegg- Inndata Øvrige'!X55+'Tillegg- Inndata Øvrige'!Y55)*(1-Faktorer!$Z$58)*0.5)</f>
        <v>0</v>
      </c>
      <c r="AK57" s="90">
        <f t="shared" si="1"/>
        <v>0</v>
      </c>
      <c r="AL57" s="91">
        <f>'Tillegg- Res. Det. Øvrige'!N57</f>
        <v>0</v>
      </c>
      <c r="AM57" s="91" t="str">
        <f>IF(F57=0,"",('Tillegg- Inndata Øvrige'!E57+'Tillegg- Inndata Øvrige'!F57)*ROUNDDOWN('Tillegg- Inndata Øvrige'!I57,0)*(1+'Tillegg- Inndata Øvrige'!K57))</f>
        <v/>
      </c>
      <c r="AO57" s="1"/>
    </row>
    <row r="58" spans="2:41">
      <c r="B58" s="327">
        <f>'Tillegg- Inndata Øvrige'!B56</f>
        <v>0</v>
      </c>
      <c r="C58" s="327">
        <f>'Tillegg- Inndata Øvrige'!C56</f>
        <v>0</v>
      </c>
      <c r="D58" s="327">
        <f>'Tillegg- Inndata Øvrige'!D56</f>
        <v>0</v>
      </c>
      <c r="E58" s="421" cm="1">
        <f t="array" ref="E58">SUM(IFERROR(F58:AF58,0))</f>
        <v>0</v>
      </c>
      <c r="F58" s="330">
        <f>'Tillegg- Inndata Øvrige'!E56</f>
        <v>0</v>
      </c>
      <c r="G58" s="330">
        <f>IF('Tillegg- Inndata Øvrige'!AB56="Ja", -0.8*$F58, 0)</f>
        <v>0</v>
      </c>
      <c r="H58" s="330">
        <f>IF('Tillegg- Inndata Øvrige'!AC56="Ja", -0.4*$F58, 0)</f>
        <v>0</v>
      </c>
      <c r="I58" s="330">
        <f>IF('Tillegg- Inndata Øvrige'!AD56="Ja", -1*$F58, 0)</f>
        <v>0</v>
      </c>
      <c r="J58" s="330">
        <f>'Tillegg- Inndata Øvrige'!O56*'Tillegg- Inndata Øvrige'!P56</f>
        <v>0</v>
      </c>
      <c r="K58" s="330">
        <f>MAX(-0.75*(SUM('Tillegg- Res. Det. Øvrige'!F58:J58)),-'Tillegg- Inndata Øvrige'!O56*'Tillegg- Inndata Øvrige'!Q56)</f>
        <v>0</v>
      </c>
      <c r="L58" s="330">
        <f>'Tillegg- Inndata Øvrige'!S56*'Tillegg- Inndata Øvrige'!T56</f>
        <v>0</v>
      </c>
      <c r="M58" s="330">
        <f>MAX(-0.75*(SUM('Tillegg- Res. Det. Øvrige'!F58:I58,L58)),-'Tillegg- Inndata Øvrige'!S56*'Tillegg- Inndata Øvrige'!U56)</f>
        <v>0</v>
      </c>
      <c r="N58" s="331">
        <f>'Tillegg- Inndata Øvrige'!F56</f>
        <v>0</v>
      </c>
      <c r="O58" s="330">
        <f>'Tillegg- Inndata Øvrige'!O56*'Tillegg- Inndata Øvrige'!R56</f>
        <v>0</v>
      </c>
      <c r="P58" s="332">
        <f>'Tillegg- Inndata Øvrige'!S56*'Tillegg- Inndata Øvrige'!V56</f>
        <v>0</v>
      </c>
      <c r="Q58" s="333">
        <f>SUM(F58:J58,L58)*'Tillegg- Inndata Øvrige'!K56</f>
        <v>0</v>
      </c>
      <c r="R58" s="333">
        <f>(K58+M58)*'Tillegg- Inndata Øvrige'!K56</f>
        <v>0</v>
      </c>
      <c r="S58" s="333">
        <f>SUM(N58:P58)*'Tillegg- Inndata Øvrige'!K56</f>
        <v>0</v>
      </c>
      <c r="T58" s="334">
        <f>('Tillegg- Inndata Øvrige'!G56+'Tillegg- Inndata Øvrige'!O56+'Tillegg- Inndata Øvrige'!S56)*'Tillegg- Inndata Øvrige'!K56*Transport_utslipp_til_avfallshånderting_per_kg</f>
        <v>0</v>
      </c>
      <c r="U58" s="330">
        <f>IF('Tillegg- Inndata Øvrige'!E56 = 0, 0, 1.833*'Tillegg- Inndata Øvrige'!X56*'Tillegg- Inndata Øvrige'!K56*('Tillegg- Inndata Øvrige'!G56*('Tillegg- Inndata Øvrige'!L56*0.5+'Tillegg- Inndata Øvrige'!M56*0.8) + (12/44)*('Tillegg- Inndata Øvrige'!O56*'Tillegg- Inndata Øvrige'!Q56+'Tillegg- Inndata Øvrige'!S56*'Tillegg- Inndata Øvrige'!U56)))</f>
        <v>0</v>
      </c>
      <c r="V58" s="335">
        <f>IF('Tillegg- Inndata Øvrige'!G56 = 0, 0,  MAX(-SUM(F58:J58,L58)*'Tillegg- Inndata Øvrige'!L56, -0.114*IF('Tillegg- Inndata Øvrige'!H56 &gt; 49, _xlfn.XLOOKUP(49, År_etter_ferdigstillelse, karbon_opptak_faktor), _xlfn.XLOOKUP('Tillegg- Inndata Øvrige'!H56, År_etter_ferdigstillelse, karbon_opptak_faktor))*'Tillegg- Inndata Øvrige'!G56*'Tillegg- Inndata Øvrige'!L56*0.5))</f>
        <v>0</v>
      </c>
      <c r="W58" s="333">
        <f>IF('Tillegg- Inndata Øvrige'!G56=0,0,IF('Tillegg- Inndata Øvrige'!H56&gt;49,-0.064*'Tillegg- Inndata Øvrige'!G56*'Tillegg- Inndata Øvrige'!N56,-0.037*'Tillegg- Inndata Øvrige'!J56*'Tillegg- Inndata Øvrige'!N56))</f>
        <v>0</v>
      </c>
      <c r="X58" s="331" cm="1">
        <f t="array" ref="X58">IF(SUM(F58:J58,L58)=0, 0, SUM(F58:J58,L58)*(1+'Tillegg-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Y58" s="330" cm="1">
        <f t="array" ref="Y58">IF(X58=0, 0, SUM(K58,M58)*(1+'Tillegg-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Z58" s="336" cm="1">
        <f t="array" ref="Z58">IF(X58=0, 0, SUM(N58:P58)*(1+'Tillegg-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A58" s="336" cm="1">
        <f t="array" ref="AA58">IF(X58=0, 0, ('Tillegg- Inndata Øvrige'!G56+'Tillegg- Inndata Øvrige'!O56+'Tillegg- Inndata Øvrige'!S56)*(1+'Tillegg- Inndata Øvrige'!K56)*Transport_utslipp_til_avfallshånderting_per_kg*IF('Tillegg-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B58" s="334" cm="1">
        <f t="array" ref="AB58">IF(X58=0, 0,1.833*'Tillegg- Inndata Øvrige'!J56*('Tillegg- Inndata Øvrige'!X56*_xlfn.XLOOKUP(IF('Tillegg- Inndata Øvrige'!I56&lt;2,'Tillegg- Inndata Øvrige'!H56,'Tillegg- Inndata Øvrige'!H56*2), År_etter_ferdigstillelse, Faktorer!$Z$7:$Z$58))*('Tillegg- Inndata Øvrige'!L56*0.5+'Tillegg- Inndata Øvrige'!M56*0.8)*_xlfn.XLOOKUP(IF('Tillegg- Inndata Øvrige'!I56&lt;2,'Tillegg- Inndata Øvrige'!H56,'Tillegg- Inndata Øvrige'!H56*2), År_etter_ferdigstillelse,  IF(LEFT('Tillegg- Inndata Øvrige'!B56, 2)= 49, f_tid_x_f_tek_d_0_037, f_tid_x_f_tek_d_0_01)))</f>
        <v>0</v>
      </c>
      <c r="AC58" s="335">
        <f>IF(('Tillegg- Inndata Øvrige'!G56) = 0, 0,('Tillegg- Inndata Øvrige'!G56*((AG58+AI58)*Transport_utslipp_til_avfallshånderting_per_kg)+('Tillegg- Inndata Øvrige'!Z56*'ZERO-B Beregning'!D158)*IF('ZERO-B Beregning'!F159=0,'ZERO-B Beregning'!D159,'ZERO-B Beregning'!F159))*_xlfn.XLOOKUP(51, År_etter_ferdigstillelse, f_tid_x_f_tek_d_0_01))</f>
        <v>0</v>
      </c>
      <c r="AD58" s="337">
        <f>IF(('Tillegg- Inndata Øvrige'!G56) = 0, 0,1.833*('Tillegg- Inndata Øvrige'!G56*('Tillegg- Inndata Øvrige'!L56*0.5+'Tillegg- Inndata Øvrige'!M56*0.8)*AG58*_xlfn.XLOOKUP(51, År_etter_ferdigstillelse,  f_tid_x_f_tek_d_0_01)))</f>
        <v>0</v>
      </c>
      <c r="AE58" s="333" cm="1">
        <f t="array" ref="AE58">IF(('Tillegg- Inndata Øvrige'!G56) = 0, 0,-0.8*('Tillegg- Inndata Øvrige'!G56)*AH58*('Tillegg- Inndata Øvrige'!E56/'Tillegg- Inndata Øvrige'!G56)*_xlfn.XLOOKUP(51, År_etter_ferdigstillelse,  IF(LEFT('Tillegg- Inndata Øvrige'!B56, 2)= 49, f_tid_x_f_tek_d_0_037, f_tid_x_f_tek_d_0_01)))</f>
        <v>0</v>
      </c>
      <c r="AF58" s="338" cm="1">
        <f t="array" ref="AF58">IF(('Tillegg- Inndata Øvrige'!G56) = 0, 0,-0.1*('Tillegg- Inndata Øvrige'!G56)*AI58*('Tillegg- Inndata Øvrige'!E56/'Tillegg- Inndata Øvrige'!G56)*_xlfn.XLOOKUP(51, År_etter_ferdigstillelse,  IF(LEFT('Tillegg- Inndata Øvrige'!B56, 2)= 49, f_tid_x_f_tek_d_0_037, f_tid_x_f_tek_d_0_01)))</f>
        <v>0</v>
      </c>
      <c r="AG58" s="572">
        <f>IF(('Tillegg- Inndata Øvrige'!G56) = 0, 0,'Tillegg- Inndata Øvrige'!X56*Faktorer!$Z$58)</f>
        <v>0</v>
      </c>
      <c r="AH58" s="573">
        <f>IF(('Tillegg- Inndata Øvrige'!G56) = 0, 0,'Tillegg- Inndata Øvrige'!Z56+('Tillegg- Inndata Øvrige'!X56+'Tillegg- Inndata Øvrige'!Y56)*(1-Faktorer!$Z$58)*0.5)</f>
        <v>0</v>
      </c>
      <c r="AI58" s="574">
        <f>IF(('Tillegg- Inndata Øvrige'!G56) = 0, 0,'Tillegg- Inndata Øvrige'!AA56+('Tillegg- Inndata Øvrige'!X56+'Tillegg- Inndata Øvrige'!Y56)*(1-Faktorer!$Z$58)*0.5)</f>
        <v>0</v>
      </c>
      <c r="AK58" s="90">
        <f t="shared" si="1"/>
        <v>0</v>
      </c>
      <c r="AL58" s="91">
        <f>'Tillegg- Res. Det. Øvrige'!N58</f>
        <v>0</v>
      </c>
      <c r="AM58" s="91" t="str">
        <f>IF(F58=0,"",('Tillegg- Inndata Øvrige'!E58+'Tillegg- Inndata Øvrige'!F58)*ROUNDDOWN('Tillegg- Inndata Øvrige'!I58,0)*(1+'Tillegg- Inndata Øvrige'!K58))</f>
        <v/>
      </c>
      <c r="AO58" s="1"/>
    </row>
    <row r="59" spans="2:41">
      <c r="B59" s="327">
        <f>'Tillegg- Inndata Øvrige'!B57</f>
        <v>0</v>
      </c>
      <c r="C59" s="327">
        <f>'Tillegg- Inndata Øvrige'!C57</f>
        <v>0</v>
      </c>
      <c r="D59" s="327">
        <f>'Tillegg- Inndata Øvrige'!D57</f>
        <v>0</v>
      </c>
      <c r="E59" s="421" cm="1">
        <f t="array" ref="E59">SUM(IFERROR(F59:AF59,0))</f>
        <v>0</v>
      </c>
      <c r="F59" s="330">
        <f>'Tillegg- Inndata Øvrige'!E57</f>
        <v>0</v>
      </c>
      <c r="G59" s="330">
        <f>IF('Tillegg- Inndata Øvrige'!AB57="Ja", -0.8*$F59, 0)</f>
        <v>0</v>
      </c>
      <c r="H59" s="330">
        <f>IF('Tillegg- Inndata Øvrige'!AC57="Ja", -0.4*$F59, 0)</f>
        <v>0</v>
      </c>
      <c r="I59" s="330">
        <f>IF('Tillegg- Inndata Øvrige'!AD57="Ja", -1*$F59, 0)</f>
        <v>0</v>
      </c>
      <c r="J59" s="330">
        <f>'Tillegg- Inndata Øvrige'!O57*'Tillegg- Inndata Øvrige'!P57</f>
        <v>0</v>
      </c>
      <c r="K59" s="330">
        <f>MAX(-0.75*(SUM('Tillegg- Res. Det. Øvrige'!F59:J59)),-'Tillegg- Inndata Øvrige'!O57*'Tillegg- Inndata Øvrige'!Q57)</f>
        <v>0</v>
      </c>
      <c r="L59" s="330">
        <f>'Tillegg- Inndata Øvrige'!S57*'Tillegg- Inndata Øvrige'!T57</f>
        <v>0</v>
      </c>
      <c r="M59" s="330">
        <f>MAX(-0.75*(SUM('Tillegg- Res. Det. Øvrige'!F59:I59,L59)),-'Tillegg- Inndata Øvrige'!S57*'Tillegg- Inndata Øvrige'!U57)</f>
        <v>0</v>
      </c>
      <c r="N59" s="331">
        <f>'Tillegg- Inndata Øvrige'!F57</f>
        <v>0</v>
      </c>
      <c r="O59" s="330">
        <f>'Tillegg- Inndata Øvrige'!O57*'Tillegg- Inndata Øvrige'!R57</f>
        <v>0</v>
      </c>
      <c r="P59" s="332">
        <f>'Tillegg- Inndata Øvrige'!S57*'Tillegg- Inndata Øvrige'!V57</f>
        <v>0</v>
      </c>
      <c r="Q59" s="333">
        <f>SUM(F59:J59,L59)*'Tillegg- Inndata Øvrige'!K57</f>
        <v>0</v>
      </c>
      <c r="R59" s="333">
        <f>(K59+M59)*'Tillegg- Inndata Øvrige'!K57</f>
        <v>0</v>
      </c>
      <c r="S59" s="333">
        <f>SUM(N59:P59)*'Tillegg- Inndata Øvrige'!K57</f>
        <v>0</v>
      </c>
      <c r="T59" s="334">
        <f>('Tillegg- Inndata Øvrige'!G57+'Tillegg- Inndata Øvrige'!O57+'Tillegg- Inndata Øvrige'!S57)*'Tillegg- Inndata Øvrige'!K57*Transport_utslipp_til_avfallshånderting_per_kg</f>
        <v>0</v>
      </c>
      <c r="U59" s="330">
        <f>IF('Tillegg- Inndata Øvrige'!E57 = 0, 0, 1.833*'Tillegg- Inndata Øvrige'!X57*'Tillegg- Inndata Øvrige'!K57*('Tillegg- Inndata Øvrige'!G57*('Tillegg- Inndata Øvrige'!L57*0.5+'Tillegg- Inndata Øvrige'!M57*0.8) + (12/44)*('Tillegg- Inndata Øvrige'!O57*'Tillegg- Inndata Øvrige'!Q57+'Tillegg- Inndata Øvrige'!S57*'Tillegg- Inndata Øvrige'!U57)))</f>
        <v>0</v>
      </c>
      <c r="V59" s="335">
        <f>IF('Tillegg- Inndata Øvrige'!G57 = 0, 0,  MAX(-SUM(F59:J59,L59)*'Tillegg- Inndata Øvrige'!L57, -0.114*IF('Tillegg- Inndata Øvrige'!H57 &gt; 49, _xlfn.XLOOKUP(49, År_etter_ferdigstillelse, karbon_opptak_faktor), _xlfn.XLOOKUP('Tillegg- Inndata Øvrige'!H57, År_etter_ferdigstillelse, karbon_opptak_faktor))*'Tillegg- Inndata Øvrige'!G57*'Tillegg- Inndata Øvrige'!L57*0.5))</f>
        <v>0</v>
      </c>
      <c r="W59" s="333">
        <f>IF('Tillegg- Inndata Øvrige'!G57=0,0,IF('Tillegg- Inndata Øvrige'!H57&gt;49,-0.064*'Tillegg- Inndata Øvrige'!G57*'Tillegg- Inndata Øvrige'!N57,-0.037*'Tillegg- Inndata Øvrige'!J57*'Tillegg- Inndata Øvrige'!N57))</f>
        <v>0</v>
      </c>
      <c r="X59" s="331" cm="1">
        <f t="array" ref="X59">IF(SUM(F59:J59,L59)=0, 0, SUM(F59:J59,L59)*(1+'Tillegg-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Y59" s="330" cm="1">
        <f t="array" ref="Y59">IF(X59=0, 0, SUM(K59,M59)*(1+'Tillegg-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Z59" s="336" cm="1">
        <f t="array" ref="Z59">IF(X59=0, 0, SUM(N59:P59)*(1+'Tillegg-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A59" s="336" cm="1">
        <f t="array" ref="AA59">IF(X59=0, 0, ('Tillegg- Inndata Øvrige'!G57+'Tillegg- Inndata Øvrige'!O57+'Tillegg- Inndata Øvrige'!S57)*(1+'Tillegg- Inndata Øvrige'!K57)*Transport_utslipp_til_avfallshånderting_per_kg*IF('Tillegg-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B59" s="334" cm="1">
        <f t="array" ref="AB59">IF(X59=0, 0,1.833*'Tillegg- Inndata Øvrige'!J57*('Tillegg- Inndata Øvrige'!X57*_xlfn.XLOOKUP(IF('Tillegg- Inndata Øvrige'!I57&lt;2,'Tillegg- Inndata Øvrige'!H57,'Tillegg- Inndata Øvrige'!H57*2), År_etter_ferdigstillelse, Faktorer!$Z$7:$Z$58))*('Tillegg- Inndata Øvrige'!L57*0.5+'Tillegg- Inndata Øvrige'!M57*0.8)*_xlfn.XLOOKUP(IF('Tillegg- Inndata Øvrige'!I57&lt;2,'Tillegg- Inndata Øvrige'!H57,'Tillegg- Inndata Øvrige'!H57*2), År_etter_ferdigstillelse,  IF(LEFT('Tillegg- Inndata Øvrige'!B57, 2)= 49, f_tid_x_f_tek_d_0_037, f_tid_x_f_tek_d_0_01)))</f>
        <v>0</v>
      </c>
      <c r="AC59" s="335">
        <f>IF(('Tillegg- Inndata Øvrige'!G57) = 0, 0,('Tillegg- Inndata Øvrige'!G57*((AG59+AI59)*Transport_utslipp_til_avfallshånderting_per_kg)+('Tillegg- Inndata Øvrige'!Z57*'ZERO-B Beregning'!D159)*IF('ZERO-B Beregning'!F160=0,'ZERO-B Beregning'!D160,'ZERO-B Beregning'!F160))*_xlfn.XLOOKUP(51, År_etter_ferdigstillelse, f_tid_x_f_tek_d_0_01))</f>
        <v>0</v>
      </c>
      <c r="AD59" s="337">
        <f>IF(('Tillegg- Inndata Øvrige'!G57) = 0, 0,1.833*('Tillegg- Inndata Øvrige'!G57*('Tillegg- Inndata Øvrige'!L57*0.5+'Tillegg- Inndata Øvrige'!M57*0.8)*AG59*_xlfn.XLOOKUP(51, År_etter_ferdigstillelse,  f_tid_x_f_tek_d_0_01)))</f>
        <v>0</v>
      </c>
      <c r="AE59" s="333" cm="1">
        <f t="array" ref="AE59">IF(('Tillegg- Inndata Øvrige'!G57) = 0, 0,-0.8*('Tillegg- Inndata Øvrige'!G57)*AH59*('Tillegg- Inndata Øvrige'!E57/'Tillegg- Inndata Øvrige'!G57)*_xlfn.XLOOKUP(51, År_etter_ferdigstillelse,  IF(LEFT('Tillegg- Inndata Øvrige'!B57, 2)= 49, f_tid_x_f_tek_d_0_037, f_tid_x_f_tek_d_0_01)))</f>
        <v>0</v>
      </c>
      <c r="AF59" s="338" cm="1">
        <f t="array" ref="AF59">IF(('Tillegg- Inndata Øvrige'!G57) = 0, 0,-0.1*('Tillegg- Inndata Øvrige'!G57)*AI59*('Tillegg- Inndata Øvrige'!E57/'Tillegg- Inndata Øvrige'!G57)*_xlfn.XLOOKUP(51, År_etter_ferdigstillelse,  IF(LEFT('Tillegg- Inndata Øvrige'!B57, 2)= 49, f_tid_x_f_tek_d_0_037, f_tid_x_f_tek_d_0_01)))</f>
        <v>0</v>
      </c>
      <c r="AG59" s="572">
        <f>IF(('Tillegg- Inndata Øvrige'!G57) = 0, 0,'Tillegg- Inndata Øvrige'!X57*Faktorer!$Z$58)</f>
        <v>0</v>
      </c>
      <c r="AH59" s="573">
        <f>IF(('Tillegg- Inndata Øvrige'!G57) = 0, 0,'Tillegg- Inndata Øvrige'!Z57+('Tillegg- Inndata Øvrige'!X57+'Tillegg- Inndata Øvrige'!Y57)*(1-Faktorer!$Z$58)*0.5)</f>
        <v>0</v>
      </c>
      <c r="AI59" s="574">
        <f>IF(('Tillegg- Inndata Øvrige'!G57) = 0, 0,'Tillegg- Inndata Øvrige'!AA57+('Tillegg- Inndata Øvrige'!X57+'Tillegg- Inndata Øvrige'!Y57)*(1-Faktorer!$Z$58)*0.5)</f>
        <v>0</v>
      </c>
      <c r="AK59" s="90">
        <f t="shared" si="1"/>
        <v>0</v>
      </c>
      <c r="AL59" s="91">
        <f>'Tillegg- Res. Det. Øvrige'!N59</f>
        <v>0</v>
      </c>
      <c r="AM59" s="91" t="str">
        <f>IF(F59=0,"",('Tillegg- Inndata Øvrige'!E59+'Tillegg- Inndata Øvrige'!F59)*ROUNDDOWN('Tillegg- Inndata Øvrige'!I59,0)*(1+'Tillegg- Inndata Øvrige'!K59))</f>
        <v/>
      </c>
      <c r="AO59" s="1"/>
    </row>
    <row r="60" spans="2:41">
      <c r="B60" s="327">
        <f>'Tillegg- Inndata Øvrige'!B58</f>
        <v>0</v>
      </c>
      <c r="C60" s="327">
        <f>'Tillegg- Inndata Øvrige'!C58</f>
        <v>0</v>
      </c>
      <c r="D60" s="327">
        <f>'Tillegg- Inndata Øvrige'!D58</f>
        <v>0</v>
      </c>
      <c r="E60" s="421" cm="1">
        <f t="array" ref="E60">SUM(IFERROR(F60:AF60,0))</f>
        <v>0</v>
      </c>
      <c r="F60" s="330">
        <f>'Tillegg- Inndata Øvrige'!E58</f>
        <v>0</v>
      </c>
      <c r="G60" s="330">
        <f>IF('Tillegg- Inndata Øvrige'!AB58="Ja", -0.8*$F60, 0)</f>
        <v>0</v>
      </c>
      <c r="H60" s="330">
        <f>IF('Tillegg- Inndata Øvrige'!AC58="Ja", -0.4*$F60, 0)</f>
        <v>0</v>
      </c>
      <c r="I60" s="330">
        <f>IF('Tillegg- Inndata Øvrige'!AD58="Ja", -1*$F60, 0)</f>
        <v>0</v>
      </c>
      <c r="J60" s="330">
        <f>'Tillegg- Inndata Øvrige'!O58*'Tillegg- Inndata Øvrige'!P58</f>
        <v>0</v>
      </c>
      <c r="K60" s="330">
        <f>MAX(-0.75*(SUM('Tillegg- Res. Det. Øvrige'!F60:J60)),-'Tillegg- Inndata Øvrige'!O58*'Tillegg- Inndata Øvrige'!Q58)</f>
        <v>0</v>
      </c>
      <c r="L60" s="330">
        <f>'Tillegg- Inndata Øvrige'!S58*'Tillegg- Inndata Øvrige'!T58</f>
        <v>0</v>
      </c>
      <c r="M60" s="330">
        <f>MAX(-0.75*(SUM('Tillegg- Res. Det. Øvrige'!F60:I60,L60)),-'Tillegg- Inndata Øvrige'!S58*'Tillegg- Inndata Øvrige'!U58)</f>
        <v>0</v>
      </c>
      <c r="N60" s="331">
        <f>'Tillegg- Inndata Øvrige'!F58</f>
        <v>0</v>
      </c>
      <c r="O60" s="330">
        <f>'Tillegg- Inndata Øvrige'!O58*'Tillegg- Inndata Øvrige'!R58</f>
        <v>0</v>
      </c>
      <c r="P60" s="332">
        <f>'Tillegg- Inndata Øvrige'!S58*'Tillegg- Inndata Øvrige'!V58</f>
        <v>0</v>
      </c>
      <c r="Q60" s="333">
        <f>SUM(F60:J60,L60)*'Tillegg- Inndata Øvrige'!K58</f>
        <v>0</v>
      </c>
      <c r="R60" s="333">
        <f>(K60+M60)*'Tillegg- Inndata Øvrige'!K58</f>
        <v>0</v>
      </c>
      <c r="S60" s="333">
        <f>SUM(N60:P60)*'Tillegg- Inndata Øvrige'!K58</f>
        <v>0</v>
      </c>
      <c r="T60" s="334">
        <f>('Tillegg- Inndata Øvrige'!G58+'Tillegg- Inndata Øvrige'!O58+'Tillegg- Inndata Øvrige'!S58)*'Tillegg- Inndata Øvrige'!K58*Transport_utslipp_til_avfallshånderting_per_kg</f>
        <v>0</v>
      </c>
      <c r="U60" s="330">
        <f>IF('Tillegg- Inndata Øvrige'!E58 = 0, 0, 1.833*'Tillegg- Inndata Øvrige'!X58*'Tillegg- Inndata Øvrige'!K58*('Tillegg- Inndata Øvrige'!G58*('Tillegg- Inndata Øvrige'!L58*0.5+'Tillegg- Inndata Øvrige'!M58*0.8) + (12/44)*('Tillegg- Inndata Øvrige'!O58*'Tillegg- Inndata Øvrige'!Q58+'Tillegg- Inndata Øvrige'!S58*'Tillegg- Inndata Øvrige'!U58)))</f>
        <v>0</v>
      </c>
      <c r="V60" s="335">
        <f>IF('Tillegg- Inndata Øvrige'!G58 = 0, 0,  MAX(-SUM(F60:J60,L60)*'Tillegg- Inndata Øvrige'!L58, -0.114*IF('Tillegg- Inndata Øvrige'!H58 &gt; 49, _xlfn.XLOOKUP(49, År_etter_ferdigstillelse, karbon_opptak_faktor), _xlfn.XLOOKUP('Tillegg- Inndata Øvrige'!H58, År_etter_ferdigstillelse, karbon_opptak_faktor))*'Tillegg- Inndata Øvrige'!G58*'Tillegg- Inndata Øvrige'!L58*0.5))</f>
        <v>0</v>
      </c>
      <c r="W60" s="333">
        <f>IF('Tillegg- Inndata Øvrige'!G58=0,0,IF('Tillegg- Inndata Øvrige'!H58&gt;49,-0.064*'Tillegg- Inndata Øvrige'!G58*'Tillegg- Inndata Øvrige'!N58,-0.037*'Tillegg- Inndata Øvrige'!J58*'Tillegg- Inndata Øvrige'!N58))</f>
        <v>0</v>
      </c>
      <c r="X60" s="331" cm="1">
        <f t="array" ref="X60">IF(SUM(F60:J60,L60)=0, 0, SUM(F60:J60,L60)*(1+'Tillegg-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Y60" s="330" cm="1">
        <f t="array" ref="Y60">IF(X60=0, 0, SUM(K60,M60)*(1+'Tillegg-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Z60" s="336" cm="1">
        <f t="array" ref="Z60">IF(X60=0, 0, SUM(N60:P60)*(1+'Tillegg-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A60" s="336" cm="1">
        <f t="array" ref="AA60">IF(X60=0, 0, ('Tillegg- Inndata Øvrige'!G58+'Tillegg- Inndata Øvrige'!O58+'Tillegg- Inndata Øvrige'!S58)*(1+'Tillegg- Inndata Øvrige'!K58)*Transport_utslipp_til_avfallshånderting_per_kg*IF('Tillegg-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B60" s="334" cm="1">
        <f t="array" ref="AB60">IF(X60=0, 0,1.833*'Tillegg- Inndata Øvrige'!J58*('Tillegg- Inndata Øvrige'!X58*_xlfn.XLOOKUP(IF('Tillegg- Inndata Øvrige'!I58&lt;2,'Tillegg- Inndata Øvrige'!H58,'Tillegg- Inndata Øvrige'!H58*2), År_etter_ferdigstillelse, Faktorer!$Z$7:$Z$58))*('Tillegg- Inndata Øvrige'!L58*0.5+'Tillegg- Inndata Øvrige'!M58*0.8)*_xlfn.XLOOKUP(IF('Tillegg- Inndata Øvrige'!I58&lt;2,'Tillegg- Inndata Øvrige'!H58,'Tillegg- Inndata Øvrige'!H58*2), År_etter_ferdigstillelse,  IF(LEFT('Tillegg- Inndata Øvrige'!B58, 2)= 49, f_tid_x_f_tek_d_0_037, f_tid_x_f_tek_d_0_01)))</f>
        <v>0</v>
      </c>
      <c r="AC60" s="335">
        <f>IF(('Tillegg- Inndata Øvrige'!G58) = 0, 0,('Tillegg- Inndata Øvrige'!G58*((AG60+AI60)*Transport_utslipp_til_avfallshånderting_per_kg)+('Tillegg- Inndata Øvrige'!Z58*'ZERO-B Beregning'!D160)*IF('ZERO-B Beregning'!F161=0,'ZERO-B Beregning'!D161,'ZERO-B Beregning'!F161))*_xlfn.XLOOKUP(51, År_etter_ferdigstillelse, f_tid_x_f_tek_d_0_01))</f>
        <v>0</v>
      </c>
      <c r="AD60" s="337">
        <f>IF(('Tillegg- Inndata Øvrige'!G58) = 0, 0,1.833*('Tillegg- Inndata Øvrige'!G58*('Tillegg- Inndata Øvrige'!L58*0.5+'Tillegg- Inndata Øvrige'!M58*0.8)*AG60*_xlfn.XLOOKUP(51, År_etter_ferdigstillelse,  f_tid_x_f_tek_d_0_01)))</f>
        <v>0</v>
      </c>
      <c r="AE60" s="333" cm="1">
        <f t="array" ref="AE60">IF(('Tillegg- Inndata Øvrige'!G58) = 0, 0,-0.8*('Tillegg- Inndata Øvrige'!G58)*AH60*('Tillegg- Inndata Øvrige'!E58/'Tillegg- Inndata Øvrige'!G58)*_xlfn.XLOOKUP(51, År_etter_ferdigstillelse,  IF(LEFT('Tillegg- Inndata Øvrige'!B58, 2)= 49, f_tid_x_f_tek_d_0_037, f_tid_x_f_tek_d_0_01)))</f>
        <v>0</v>
      </c>
      <c r="AF60" s="338" cm="1">
        <f t="array" ref="AF60">IF(('Tillegg- Inndata Øvrige'!G58) = 0, 0,-0.1*('Tillegg- Inndata Øvrige'!G58)*AI60*('Tillegg- Inndata Øvrige'!E58/'Tillegg- Inndata Øvrige'!G58)*_xlfn.XLOOKUP(51, År_etter_ferdigstillelse,  IF(LEFT('Tillegg- Inndata Øvrige'!B58, 2)= 49, f_tid_x_f_tek_d_0_037, f_tid_x_f_tek_d_0_01)))</f>
        <v>0</v>
      </c>
      <c r="AG60" s="572">
        <f>IF(('Tillegg- Inndata Øvrige'!G58) = 0, 0,'Tillegg- Inndata Øvrige'!X58*Faktorer!$Z$58)</f>
        <v>0</v>
      </c>
      <c r="AH60" s="573">
        <f>IF(('Tillegg- Inndata Øvrige'!G58) = 0, 0,'Tillegg- Inndata Øvrige'!Z58+('Tillegg- Inndata Øvrige'!X58+'Tillegg- Inndata Øvrige'!Y58)*(1-Faktorer!$Z$58)*0.5)</f>
        <v>0</v>
      </c>
      <c r="AI60" s="574">
        <f>IF(('Tillegg- Inndata Øvrige'!G58) = 0, 0,'Tillegg- Inndata Øvrige'!AA58+('Tillegg- Inndata Øvrige'!X58+'Tillegg- Inndata Øvrige'!Y58)*(1-Faktorer!$Z$58)*0.5)</f>
        <v>0</v>
      </c>
      <c r="AK60" s="90">
        <f t="shared" si="1"/>
        <v>0</v>
      </c>
      <c r="AL60" s="91">
        <f>'Tillegg- Res. Det. Øvrige'!N60</f>
        <v>0</v>
      </c>
      <c r="AM60" s="91" t="str">
        <f>IF(F60=0,"",('Tillegg- Inndata Øvrige'!E60+'Tillegg- Inndata Øvrige'!F60)*ROUNDDOWN('Tillegg- Inndata Øvrige'!I60,0)*(1+'Tillegg- Inndata Øvrige'!K60))</f>
        <v/>
      </c>
      <c r="AO60" s="1"/>
    </row>
    <row r="61" spans="2:41">
      <c r="B61" s="327">
        <f>'Tillegg- Inndata Øvrige'!B59</f>
        <v>0</v>
      </c>
      <c r="C61" s="327">
        <f>'Tillegg- Inndata Øvrige'!C59</f>
        <v>0</v>
      </c>
      <c r="D61" s="327">
        <f>'Tillegg- Inndata Øvrige'!D59</f>
        <v>0</v>
      </c>
      <c r="E61" s="421" cm="1">
        <f t="array" ref="E61">SUM(IFERROR(F61:AF61,0))</f>
        <v>0</v>
      </c>
      <c r="F61" s="330">
        <f>'Tillegg- Inndata Øvrige'!E59</f>
        <v>0</v>
      </c>
      <c r="G61" s="330">
        <f>IF('Tillegg- Inndata Øvrige'!AB59="Ja", -0.8*$F61, 0)</f>
        <v>0</v>
      </c>
      <c r="H61" s="330">
        <f>IF('Tillegg- Inndata Øvrige'!AC59="Ja", -0.4*$F61, 0)</f>
        <v>0</v>
      </c>
      <c r="I61" s="330">
        <f>IF('Tillegg- Inndata Øvrige'!AD59="Ja", -1*$F61, 0)</f>
        <v>0</v>
      </c>
      <c r="J61" s="330">
        <f>'Tillegg- Inndata Øvrige'!O59*'Tillegg- Inndata Øvrige'!P59</f>
        <v>0</v>
      </c>
      <c r="K61" s="330">
        <f>MAX(-0.75*(SUM('Tillegg- Res. Det. Øvrige'!F61:J61)),-'Tillegg- Inndata Øvrige'!O59*'Tillegg- Inndata Øvrige'!Q59)</f>
        <v>0</v>
      </c>
      <c r="L61" s="330">
        <f>'Tillegg- Inndata Øvrige'!S59*'Tillegg- Inndata Øvrige'!T59</f>
        <v>0</v>
      </c>
      <c r="M61" s="330">
        <f>MAX(-0.75*(SUM('Tillegg- Res. Det. Øvrige'!F61:I61,L61)),-'Tillegg- Inndata Øvrige'!S59*'Tillegg- Inndata Øvrige'!U59)</f>
        <v>0</v>
      </c>
      <c r="N61" s="331">
        <f>'Tillegg- Inndata Øvrige'!F59</f>
        <v>0</v>
      </c>
      <c r="O61" s="330">
        <f>'Tillegg- Inndata Øvrige'!O59*'Tillegg- Inndata Øvrige'!R59</f>
        <v>0</v>
      </c>
      <c r="P61" s="332">
        <f>'Tillegg- Inndata Øvrige'!S59*'Tillegg- Inndata Øvrige'!V59</f>
        <v>0</v>
      </c>
      <c r="Q61" s="333">
        <f>SUM(F61:J61,L61)*'Tillegg- Inndata Øvrige'!K59</f>
        <v>0</v>
      </c>
      <c r="R61" s="333">
        <f>(K61+M61)*'Tillegg- Inndata Øvrige'!K59</f>
        <v>0</v>
      </c>
      <c r="S61" s="333">
        <f>SUM(N61:P61)*'Tillegg- Inndata Øvrige'!K59</f>
        <v>0</v>
      </c>
      <c r="T61" s="334">
        <f>('Tillegg- Inndata Øvrige'!G59+'Tillegg- Inndata Øvrige'!O59+'Tillegg- Inndata Øvrige'!S59)*'Tillegg- Inndata Øvrige'!K59*Transport_utslipp_til_avfallshånderting_per_kg</f>
        <v>0</v>
      </c>
      <c r="U61" s="330">
        <f>IF('Tillegg- Inndata Øvrige'!E59 = 0, 0, 1.833*'Tillegg- Inndata Øvrige'!X59*'Tillegg- Inndata Øvrige'!K59*('Tillegg- Inndata Øvrige'!G59*('Tillegg- Inndata Øvrige'!L59*0.5+'Tillegg- Inndata Øvrige'!M59*0.8) + (12/44)*('Tillegg- Inndata Øvrige'!O59*'Tillegg- Inndata Øvrige'!Q59+'Tillegg- Inndata Øvrige'!S59*'Tillegg- Inndata Øvrige'!U59)))</f>
        <v>0</v>
      </c>
      <c r="V61" s="335">
        <f>IF('Tillegg- Inndata Øvrige'!G59 = 0, 0,  MAX(-SUM(F61:J61,L61)*'Tillegg- Inndata Øvrige'!L59, -0.114*IF('Tillegg- Inndata Øvrige'!H59 &gt; 49, _xlfn.XLOOKUP(49, År_etter_ferdigstillelse, karbon_opptak_faktor), _xlfn.XLOOKUP('Tillegg- Inndata Øvrige'!H59, År_etter_ferdigstillelse, karbon_opptak_faktor))*'Tillegg- Inndata Øvrige'!G59*'Tillegg- Inndata Øvrige'!L59*0.5))</f>
        <v>0</v>
      </c>
      <c r="W61" s="333">
        <f>IF('Tillegg- Inndata Øvrige'!G59=0,0,IF('Tillegg- Inndata Øvrige'!H59&gt;49,-0.064*'Tillegg- Inndata Øvrige'!G59*'Tillegg- Inndata Øvrige'!N59,-0.037*'Tillegg- Inndata Øvrige'!J59*'Tillegg- Inndata Øvrige'!N59))</f>
        <v>0</v>
      </c>
      <c r="X61" s="331" cm="1">
        <f t="array" ref="X61">IF(SUM(F61:J61,L61)=0, 0, SUM(F61:J61,L61)*(1+'Tillegg-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Y61" s="330" cm="1">
        <f t="array" ref="Y61">IF(X61=0, 0, SUM(K61,M61)*(1+'Tillegg-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Z61" s="336" cm="1">
        <f t="array" ref="Z61">IF(X61=0, 0, SUM(N61:P61)*(1+'Tillegg-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A61" s="336" cm="1">
        <f t="array" ref="AA61">IF(X61=0, 0, ('Tillegg- Inndata Øvrige'!G59+'Tillegg- Inndata Øvrige'!O59+'Tillegg- Inndata Øvrige'!S59)*(1+'Tillegg- Inndata Øvrige'!K59)*Transport_utslipp_til_avfallshånderting_per_kg*IF('Tillegg-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B61" s="334" cm="1">
        <f t="array" ref="AB61">IF(X61=0, 0,1.833*'Tillegg- Inndata Øvrige'!J59*('Tillegg- Inndata Øvrige'!X59*_xlfn.XLOOKUP(IF('Tillegg- Inndata Øvrige'!I59&lt;2,'Tillegg- Inndata Øvrige'!H59,'Tillegg- Inndata Øvrige'!H59*2), År_etter_ferdigstillelse, Faktorer!$Z$7:$Z$58))*('Tillegg- Inndata Øvrige'!L59*0.5+'Tillegg- Inndata Øvrige'!M59*0.8)*_xlfn.XLOOKUP(IF('Tillegg- Inndata Øvrige'!I59&lt;2,'Tillegg- Inndata Øvrige'!H59,'Tillegg- Inndata Øvrige'!H59*2), År_etter_ferdigstillelse,  IF(LEFT('Tillegg- Inndata Øvrige'!B59, 2)= 49, f_tid_x_f_tek_d_0_037, f_tid_x_f_tek_d_0_01)))</f>
        <v>0</v>
      </c>
      <c r="AC61" s="335">
        <f>IF(('Tillegg- Inndata Øvrige'!G59) = 0, 0,('Tillegg- Inndata Øvrige'!G59*((AG61+AI61)*Transport_utslipp_til_avfallshånderting_per_kg)+('Tillegg- Inndata Øvrige'!Z59*'ZERO-B Beregning'!D161)*IF('ZERO-B Beregning'!F162=0,'ZERO-B Beregning'!D162,'ZERO-B Beregning'!F162))*_xlfn.XLOOKUP(51, År_etter_ferdigstillelse, f_tid_x_f_tek_d_0_01))</f>
        <v>0</v>
      </c>
      <c r="AD61" s="337">
        <f>IF(('Tillegg- Inndata Øvrige'!G59) = 0, 0,1.833*('Tillegg- Inndata Øvrige'!G59*('Tillegg- Inndata Øvrige'!L59*0.5+'Tillegg- Inndata Øvrige'!M59*0.8)*AG61*_xlfn.XLOOKUP(51, År_etter_ferdigstillelse,  f_tid_x_f_tek_d_0_01)))</f>
        <v>0</v>
      </c>
      <c r="AE61" s="333" cm="1">
        <f t="array" ref="AE61">IF(('Tillegg- Inndata Øvrige'!G59) = 0, 0,-0.8*('Tillegg- Inndata Øvrige'!G59)*AH61*('Tillegg- Inndata Øvrige'!E59/'Tillegg- Inndata Øvrige'!G59)*_xlfn.XLOOKUP(51, År_etter_ferdigstillelse,  IF(LEFT('Tillegg- Inndata Øvrige'!B59, 2)= 49, f_tid_x_f_tek_d_0_037, f_tid_x_f_tek_d_0_01)))</f>
        <v>0</v>
      </c>
      <c r="AF61" s="338" cm="1">
        <f t="array" ref="AF61">IF(('Tillegg- Inndata Øvrige'!G59) = 0, 0,-0.1*('Tillegg- Inndata Øvrige'!G59)*AI61*('Tillegg- Inndata Øvrige'!E59/'Tillegg- Inndata Øvrige'!G59)*_xlfn.XLOOKUP(51, År_etter_ferdigstillelse,  IF(LEFT('Tillegg- Inndata Øvrige'!B59, 2)= 49, f_tid_x_f_tek_d_0_037, f_tid_x_f_tek_d_0_01)))</f>
        <v>0</v>
      </c>
      <c r="AG61" s="572">
        <f>IF(('Tillegg- Inndata Øvrige'!G59) = 0, 0,'Tillegg- Inndata Øvrige'!X59*Faktorer!$Z$58)</f>
        <v>0</v>
      </c>
      <c r="AH61" s="573">
        <f>IF(('Tillegg- Inndata Øvrige'!G59) = 0, 0,'Tillegg- Inndata Øvrige'!Z59+('Tillegg- Inndata Øvrige'!X59+'Tillegg- Inndata Øvrige'!Y59)*(1-Faktorer!$Z$58)*0.5)</f>
        <v>0</v>
      </c>
      <c r="AI61" s="574">
        <f>IF(('Tillegg- Inndata Øvrige'!G59) = 0, 0,'Tillegg- Inndata Øvrige'!AA59+('Tillegg- Inndata Øvrige'!X59+'Tillegg- Inndata Øvrige'!Y59)*(1-Faktorer!$Z$58)*0.5)</f>
        <v>0</v>
      </c>
      <c r="AK61" s="90">
        <f t="shared" si="1"/>
        <v>0</v>
      </c>
      <c r="AL61" s="91">
        <f>'Tillegg- Res. Det. Øvrige'!N61</f>
        <v>0</v>
      </c>
      <c r="AM61" s="91" t="str">
        <f>IF(F61=0,"",('Tillegg- Inndata Øvrige'!E61+'Tillegg- Inndata Øvrige'!F61)*ROUNDDOWN('Tillegg- Inndata Øvrige'!I61,0)*(1+'Tillegg- Inndata Øvrige'!K61))</f>
        <v/>
      </c>
      <c r="AO61" s="1"/>
    </row>
    <row r="62" spans="2:41">
      <c r="B62" s="327">
        <f>'Tillegg- Inndata Øvrige'!B60</f>
        <v>0</v>
      </c>
      <c r="C62" s="327">
        <f>'Tillegg- Inndata Øvrige'!C60</f>
        <v>0</v>
      </c>
      <c r="D62" s="327">
        <f>'Tillegg- Inndata Øvrige'!D60</f>
        <v>0</v>
      </c>
      <c r="E62" s="421" cm="1">
        <f t="array" ref="E62">SUM(IFERROR(F62:AF62,0))</f>
        <v>0</v>
      </c>
      <c r="F62" s="330">
        <f>'Tillegg- Inndata Øvrige'!E60</f>
        <v>0</v>
      </c>
      <c r="G62" s="330">
        <f>IF('Tillegg- Inndata Øvrige'!AB60="Ja", -0.8*$F62, 0)</f>
        <v>0</v>
      </c>
      <c r="H62" s="330">
        <f>IF('Tillegg- Inndata Øvrige'!AC60="Ja", -0.4*$F62, 0)</f>
        <v>0</v>
      </c>
      <c r="I62" s="330">
        <f>IF('Tillegg- Inndata Øvrige'!AD60="Ja", -1*$F62, 0)</f>
        <v>0</v>
      </c>
      <c r="J62" s="330">
        <f>'Tillegg- Inndata Øvrige'!O60*'Tillegg- Inndata Øvrige'!P60</f>
        <v>0</v>
      </c>
      <c r="K62" s="330">
        <f>MAX(-0.75*(SUM('Tillegg- Res. Det. Øvrige'!F62:J62)),-'Tillegg- Inndata Øvrige'!O60*'Tillegg- Inndata Øvrige'!Q60)</f>
        <v>0</v>
      </c>
      <c r="L62" s="330">
        <f>'Tillegg- Inndata Øvrige'!S60*'Tillegg- Inndata Øvrige'!T60</f>
        <v>0</v>
      </c>
      <c r="M62" s="330">
        <f>MAX(-0.75*(SUM('Tillegg- Res. Det. Øvrige'!F62:I62,L62)),-'Tillegg- Inndata Øvrige'!S60*'Tillegg- Inndata Øvrige'!U60)</f>
        <v>0</v>
      </c>
      <c r="N62" s="331">
        <f>'Tillegg- Inndata Øvrige'!F60</f>
        <v>0</v>
      </c>
      <c r="O62" s="330">
        <f>'Tillegg- Inndata Øvrige'!O60*'Tillegg- Inndata Øvrige'!R60</f>
        <v>0</v>
      </c>
      <c r="P62" s="332">
        <f>'Tillegg- Inndata Øvrige'!S60*'Tillegg- Inndata Øvrige'!V60</f>
        <v>0</v>
      </c>
      <c r="Q62" s="333">
        <f>SUM(F62:J62,L62)*'Tillegg- Inndata Øvrige'!K60</f>
        <v>0</v>
      </c>
      <c r="R62" s="333">
        <f>(K62+M62)*'Tillegg- Inndata Øvrige'!K60</f>
        <v>0</v>
      </c>
      <c r="S62" s="333">
        <f>SUM(N62:P62)*'Tillegg- Inndata Øvrige'!K60</f>
        <v>0</v>
      </c>
      <c r="T62" s="334">
        <f>('Tillegg- Inndata Øvrige'!G60+'Tillegg- Inndata Øvrige'!O60+'Tillegg- Inndata Øvrige'!S60)*'Tillegg- Inndata Øvrige'!K60*Transport_utslipp_til_avfallshånderting_per_kg</f>
        <v>0</v>
      </c>
      <c r="U62" s="330">
        <f>IF('Tillegg- Inndata Øvrige'!E60 = 0, 0, 1.833*'Tillegg- Inndata Øvrige'!X60*'Tillegg- Inndata Øvrige'!K60*('Tillegg- Inndata Øvrige'!G60*('Tillegg- Inndata Øvrige'!L60*0.5+'Tillegg- Inndata Øvrige'!M60*0.8) + (12/44)*('Tillegg- Inndata Øvrige'!O60*'Tillegg- Inndata Øvrige'!Q60+'Tillegg- Inndata Øvrige'!S60*'Tillegg- Inndata Øvrige'!U60)))</f>
        <v>0</v>
      </c>
      <c r="V62" s="335">
        <f>IF('Tillegg- Inndata Øvrige'!G60 = 0, 0,  MAX(-SUM(F62:J62,L62)*'Tillegg- Inndata Øvrige'!L60, -0.114*IF('Tillegg- Inndata Øvrige'!H60 &gt; 49, _xlfn.XLOOKUP(49, År_etter_ferdigstillelse, karbon_opptak_faktor), _xlfn.XLOOKUP('Tillegg- Inndata Øvrige'!H60, År_etter_ferdigstillelse, karbon_opptak_faktor))*'Tillegg- Inndata Øvrige'!G60*'Tillegg- Inndata Øvrige'!L60*0.5))</f>
        <v>0</v>
      </c>
      <c r="W62" s="333">
        <f>IF('Tillegg- Inndata Øvrige'!G60=0,0,IF('Tillegg- Inndata Øvrige'!H60&gt;49,-0.064*'Tillegg- Inndata Øvrige'!G60*'Tillegg- Inndata Øvrige'!N60,-0.037*'Tillegg- Inndata Øvrige'!J60*'Tillegg- Inndata Øvrige'!N60))</f>
        <v>0</v>
      </c>
      <c r="X62" s="331" cm="1">
        <f t="array" ref="X62">IF(SUM(F62:J62,L62)=0, 0, SUM(F62:J62,L62)*(1+'Tillegg-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Y62" s="330" cm="1">
        <f t="array" ref="Y62">IF(X62=0, 0, SUM(K62,M62)*(1+'Tillegg-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Z62" s="336" cm="1">
        <f t="array" ref="Z62">IF(X62=0, 0, SUM(N62:P62)*(1+'Tillegg-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A62" s="336" cm="1">
        <f t="array" ref="AA62">IF(X62=0, 0, ('Tillegg- Inndata Øvrige'!G60+'Tillegg- Inndata Øvrige'!O60+'Tillegg- Inndata Øvrige'!S60)*(1+'Tillegg- Inndata Øvrige'!K60)*Transport_utslipp_til_avfallshånderting_per_kg*IF('Tillegg-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B62" s="334" cm="1">
        <f t="array" ref="AB62">IF(X62=0, 0,1.833*'Tillegg- Inndata Øvrige'!J60*('Tillegg- Inndata Øvrige'!X60*_xlfn.XLOOKUP(IF('Tillegg- Inndata Øvrige'!I60&lt;2,'Tillegg- Inndata Øvrige'!H60,'Tillegg- Inndata Øvrige'!H60*2), År_etter_ferdigstillelse, Faktorer!$Z$7:$Z$58))*('Tillegg- Inndata Øvrige'!L60*0.5+'Tillegg- Inndata Øvrige'!M60*0.8)*_xlfn.XLOOKUP(IF('Tillegg- Inndata Øvrige'!I60&lt;2,'Tillegg- Inndata Øvrige'!H60,'Tillegg- Inndata Øvrige'!H60*2), År_etter_ferdigstillelse,  IF(LEFT('Tillegg- Inndata Øvrige'!B60, 2)= 49, f_tid_x_f_tek_d_0_037, f_tid_x_f_tek_d_0_01)))</f>
        <v>0</v>
      </c>
      <c r="AC62" s="335">
        <f>IF(('Tillegg- Inndata Øvrige'!G60) = 0, 0,('Tillegg- Inndata Øvrige'!G60*((AG62+AI62)*Transport_utslipp_til_avfallshånderting_per_kg)+('Tillegg- Inndata Øvrige'!Z60*'ZERO-B Beregning'!D162)*IF('ZERO-B Beregning'!F163=0,'ZERO-B Beregning'!D163,'ZERO-B Beregning'!F163))*_xlfn.XLOOKUP(51, År_etter_ferdigstillelse, f_tid_x_f_tek_d_0_01))</f>
        <v>0</v>
      </c>
      <c r="AD62" s="337">
        <f>IF(('Tillegg- Inndata Øvrige'!G60) = 0, 0,1.833*('Tillegg- Inndata Øvrige'!G60*('Tillegg- Inndata Øvrige'!L60*0.5+'Tillegg- Inndata Øvrige'!M60*0.8)*AG62*_xlfn.XLOOKUP(51, År_etter_ferdigstillelse,  f_tid_x_f_tek_d_0_01)))</f>
        <v>0</v>
      </c>
      <c r="AE62" s="333" cm="1">
        <f t="array" ref="AE62">IF(('Tillegg- Inndata Øvrige'!G60) = 0, 0,-0.8*('Tillegg- Inndata Øvrige'!G60)*AH62*('Tillegg- Inndata Øvrige'!E60/'Tillegg- Inndata Øvrige'!G60)*_xlfn.XLOOKUP(51, År_etter_ferdigstillelse,  IF(LEFT('Tillegg- Inndata Øvrige'!B60, 2)= 49, f_tid_x_f_tek_d_0_037, f_tid_x_f_tek_d_0_01)))</f>
        <v>0</v>
      </c>
      <c r="AF62" s="338" cm="1">
        <f t="array" ref="AF62">IF(('Tillegg- Inndata Øvrige'!G60) = 0, 0,-0.1*('Tillegg- Inndata Øvrige'!G60)*AI62*('Tillegg- Inndata Øvrige'!E60/'Tillegg- Inndata Øvrige'!G60)*_xlfn.XLOOKUP(51, År_etter_ferdigstillelse,  IF(LEFT('Tillegg- Inndata Øvrige'!B60, 2)= 49, f_tid_x_f_tek_d_0_037, f_tid_x_f_tek_d_0_01)))</f>
        <v>0</v>
      </c>
      <c r="AG62" s="572">
        <f>IF(('Tillegg- Inndata Øvrige'!G60) = 0, 0,'Tillegg- Inndata Øvrige'!X60*Faktorer!$Z$58)</f>
        <v>0</v>
      </c>
      <c r="AH62" s="573">
        <f>IF(('Tillegg- Inndata Øvrige'!G60) = 0, 0,'Tillegg- Inndata Øvrige'!Z60+('Tillegg- Inndata Øvrige'!X60+'Tillegg- Inndata Øvrige'!Y60)*(1-Faktorer!$Z$58)*0.5)</f>
        <v>0</v>
      </c>
      <c r="AI62" s="574">
        <f>IF(('Tillegg- Inndata Øvrige'!G60) = 0, 0,'Tillegg- Inndata Øvrige'!AA60+('Tillegg- Inndata Øvrige'!X60+'Tillegg- Inndata Øvrige'!Y60)*(1-Faktorer!$Z$58)*0.5)</f>
        <v>0</v>
      </c>
      <c r="AK62" s="90">
        <f t="shared" si="1"/>
        <v>0</v>
      </c>
      <c r="AL62" s="91">
        <f>'Tillegg- Res. Det. Øvrige'!N62</f>
        <v>0</v>
      </c>
      <c r="AM62" s="91" t="str">
        <f>IF(F62=0,"",('Tillegg- Inndata Øvrige'!E62+'Tillegg- Inndata Øvrige'!F62)*ROUNDDOWN('Tillegg- Inndata Øvrige'!I62,0)*(1+'Tillegg- Inndata Øvrige'!K62))</f>
        <v/>
      </c>
      <c r="AO62" s="1"/>
    </row>
    <row r="63" spans="2:41">
      <c r="B63" s="327">
        <f>'Tillegg- Inndata Øvrige'!B61</f>
        <v>0</v>
      </c>
      <c r="C63" s="327">
        <f>'Tillegg- Inndata Øvrige'!C61</f>
        <v>0</v>
      </c>
      <c r="D63" s="327">
        <f>'Tillegg- Inndata Øvrige'!D61</f>
        <v>0</v>
      </c>
      <c r="E63" s="421" cm="1">
        <f t="array" ref="E63">SUM(IFERROR(F63:AF63,0))</f>
        <v>0</v>
      </c>
      <c r="F63" s="330">
        <f>'Tillegg- Inndata Øvrige'!E61</f>
        <v>0</v>
      </c>
      <c r="G63" s="330">
        <f>IF('Tillegg- Inndata Øvrige'!AB61="Ja", -0.8*$F63, 0)</f>
        <v>0</v>
      </c>
      <c r="H63" s="330">
        <f>IF('Tillegg- Inndata Øvrige'!AC61="Ja", -0.4*$F63, 0)</f>
        <v>0</v>
      </c>
      <c r="I63" s="330">
        <f>IF('Tillegg- Inndata Øvrige'!AD61="Ja", -1*$F63, 0)</f>
        <v>0</v>
      </c>
      <c r="J63" s="330">
        <f>'Tillegg- Inndata Øvrige'!O61*'Tillegg- Inndata Øvrige'!P61</f>
        <v>0</v>
      </c>
      <c r="K63" s="330">
        <f>MAX(-0.75*(SUM('Tillegg- Res. Det. Øvrige'!F63:J63)),-'Tillegg- Inndata Øvrige'!O61*'Tillegg- Inndata Øvrige'!Q61)</f>
        <v>0</v>
      </c>
      <c r="L63" s="330">
        <f>'Tillegg- Inndata Øvrige'!S61*'Tillegg- Inndata Øvrige'!T61</f>
        <v>0</v>
      </c>
      <c r="M63" s="330">
        <f>MAX(-0.75*(SUM('Tillegg- Res. Det. Øvrige'!F63:I63,L63)),-'Tillegg- Inndata Øvrige'!S61*'Tillegg- Inndata Øvrige'!U61)</f>
        <v>0</v>
      </c>
      <c r="N63" s="331">
        <f>'Tillegg- Inndata Øvrige'!F61</f>
        <v>0</v>
      </c>
      <c r="O63" s="330">
        <f>'Tillegg- Inndata Øvrige'!O61*'Tillegg- Inndata Øvrige'!R61</f>
        <v>0</v>
      </c>
      <c r="P63" s="332">
        <f>'Tillegg- Inndata Øvrige'!S61*'Tillegg- Inndata Øvrige'!V61</f>
        <v>0</v>
      </c>
      <c r="Q63" s="333">
        <f>SUM(F63:J63,L63)*'Tillegg- Inndata Øvrige'!K61</f>
        <v>0</v>
      </c>
      <c r="R63" s="333">
        <f>(K63+M63)*'Tillegg- Inndata Øvrige'!K61</f>
        <v>0</v>
      </c>
      <c r="S63" s="333">
        <f>SUM(N63:P63)*'Tillegg- Inndata Øvrige'!K61</f>
        <v>0</v>
      </c>
      <c r="T63" s="334">
        <f>('Tillegg- Inndata Øvrige'!G61+'Tillegg- Inndata Øvrige'!O61+'Tillegg- Inndata Øvrige'!S61)*'Tillegg- Inndata Øvrige'!K61*Transport_utslipp_til_avfallshånderting_per_kg</f>
        <v>0</v>
      </c>
      <c r="U63" s="330">
        <f>IF('Tillegg- Inndata Øvrige'!E61 = 0, 0, 1.833*'Tillegg- Inndata Øvrige'!X61*'Tillegg- Inndata Øvrige'!K61*('Tillegg- Inndata Øvrige'!G61*('Tillegg- Inndata Øvrige'!L61*0.5+'Tillegg- Inndata Øvrige'!M61*0.8) + (12/44)*('Tillegg- Inndata Øvrige'!O61*'Tillegg- Inndata Øvrige'!Q61+'Tillegg- Inndata Øvrige'!S61*'Tillegg- Inndata Øvrige'!U61)))</f>
        <v>0</v>
      </c>
      <c r="V63" s="335">
        <f>IF('Tillegg- Inndata Øvrige'!G61 = 0, 0,  MAX(-SUM(F63:J63,L63)*'Tillegg- Inndata Øvrige'!L61, -0.114*IF('Tillegg- Inndata Øvrige'!H61 &gt; 49, _xlfn.XLOOKUP(49, År_etter_ferdigstillelse, karbon_opptak_faktor), _xlfn.XLOOKUP('Tillegg- Inndata Øvrige'!H61, År_etter_ferdigstillelse, karbon_opptak_faktor))*'Tillegg- Inndata Øvrige'!G61*'Tillegg- Inndata Øvrige'!L61*0.5))</f>
        <v>0</v>
      </c>
      <c r="W63" s="333">
        <f>IF('Tillegg- Inndata Øvrige'!G61=0,0,IF('Tillegg- Inndata Øvrige'!H61&gt;49,-0.064*'Tillegg- Inndata Øvrige'!G61*'Tillegg- Inndata Øvrige'!N61,-0.037*'Tillegg- Inndata Øvrige'!J61*'Tillegg- Inndata Øvrige'!N61))</f>
        <v>0</v>
      </c>
      <c r="X63" s="331" cm="1">
        <f t="array" ref="X63">IF(SUM(F63:J63,L63)=0, 0, SUM(F63:J63,L63)*(1+'Tillegg-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Y63" s="330" cm="1">
        <f t="array" ref="Y63">IF(X63=0, 0, SUM(K63,M63)*(1+'Tillegg-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Z63" s="336" cm="1">
        <f t="array" ref="Z63">IF(X63=0, 0, SUM(N63:P63)*(1+'Tillegg-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A63" s="336" cm="1">
        <f t="array" ref="AA63">IF(X63=0, 0, ('Tillegg- Inndata Øvrige'!G61+'Tillegg- Inndata Øvrige'!O61+'Tillegg- Inndata Øvrige'!S61)*(1+'Tillegg- Inndata Øvrige'!K61)*Transport_utslipp_til_avfallshånderting_per_kg*IF('Tillegg-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B63" s="334" cm="1">
        <f t="array" ref="AB63">IF(X63=0, 0,1.833*'Tillegg- Inndata Øvrige'!J61*('Tillegg- Inndata Øvrige'!X61*_xlfn.XLOOKUP(IF('Tillegg- Inndata Øvrige'!I61&lt;2,'Tillegg- Inndata Øvrige'!H61,'Tillegg- Inndata Øvrige'!H61*2), År_etter_ferdigstillelse, Faktorer!$Z$7:$Z$58))*('Tillegg- Inndata Øvrige'!L61*0.5+'Tillegg- Inndata Øvrige'!M61*0.8)*_xlfn.XLOOKUP(IF('Tillegg- Inndata Øvrige'!I61&lt;2,'Tillegg- Inndata Øvrige'!H61,'Tillegg- Inndata Øvrige'!H61*2), År_etter_ferdigstillelse,  IF(LEFT('Tillegg- Inndata Øvrige'!B61, 2)= 49, f_tid_x_f_tek_d_0_037, f_tid_x_f_tek_d_0_01)))</f>
        <v>0</v>
      </c>
      <c r="AC63" s="335">
        <f>IF(('Tillegg- Inndata Øvrige'!G61) = 0, 0,('Tillegg- Inndata Øvrige'!G61*((AG63+AI63)*Transport_utslipp_til_avfallshånderting_per_kg)+('Tillegg- Inndata Øvrige'!Z61*'ZERO-B Beregning'!D163)*IF('ZERO-B Beregning'!F164=0,'ZERO-B Beregning'!D164,'ZERO-B Beregning'!F164))*_xlfn.XLOOKUP(51, År_etter_ferdigstillelse, f_tid_x_f_tek_d_0_01))</f>
        <v>0</v>
      </c>
      <c r="AD63" s="337">
        <f>IF(('Tillegg- Inndata Øvrige'!G61) = 0, 0,1.833*('Tillegg- Inndata Øvrige'!G61*('Tillegg- Inndata Øvrige'!L61*0.5+'Tillegg- Inndata Øvrige'!M61*0.8)*AG63*_xlfn.XLOOKUP(51, År_etter_ferdigstillelse,  f_tid_x_f_tek_d_0_01)))</f>
        <v>0</v>
      </c>
      <c r="AE63" s="333" cm="1">
        <f t="array" ref="AE63">IF(('Tillegg- Inndata Øvrige'!G61) = 0, 0,-0.8*('Tillegg- Inndata Øvrige'!G61)*AH63*('Tillegg- Inndata Øvrige'!E61/'Tillegg- Inndata Øvrige'!G61)*_xlfn.XLOOKUP(51, År_etter_ferdigstillelse,  IF(LEFT('Tillegg- Inndata Øvrige'!B61, 2)= 49, f_tid_x_f_tek_d_0_037, f_tid_x_f_tek_d_0_01)))</f>
        <v>0</v>
      </c>
      <c r="AF63" s="338" cm="1">
        <f t="array" ref="AF63">IF(('Tillegg- Inndata Øvrige'!G61) = 0, 0,-0.1*('Tillegg- Inndata Øvrige'!G61)*AI63*('Tillegg- Inndata Øvrige'!E61/'Tillegg- Inndata Øvrige'!G61)*_xlfn.XLOOKUP(51, År_etter_ferdigstillelse,  IF(LEFT('Tillegg- Inndata Øvrige'!B61, 2)= 49, f_tid_x_f_tek_d_0_037, f_tid_x_f_tek_d_0_01)))</f>
        <v>0</v>
      </c>
      <c r="AG63" s="572">
        <f>IF(('Tillegg- Inndata Øvrige'!G61) = 0, 0,'Tillegg- Inndata Øvrige'!X61*Faktorer!$Z$58)</f>
        <v>0</v>
      </c>
      <c r="AH63" s="573">
        <f>IF(('Tillegg- Inndata Øvrige'!G61) = 0, 0,'Tillegg- Inndata Øvrige'!Z61+('Tillegg- Inndata Øvrige'!X61+'Tillegg- Inndata Øvrige'!Y61)*(1-Faktorer!$Z$58)*0.5)</f>
        <v>0</v>
      </c>
      <c r="AI63" s="574">
        <f>IF(('Tillegg- Inndata Øvrige'!G61) = 0, 0,'Tillegg- Inndata Øvrige'!AA61+('Tillegg- Inndata Øvrige'!X61+'Tillegg- Inndata Øvrige'!Y61)*(1-Faktorer!$Z$58)*0.5)</f>
        <v>0</v>
      </c>
      <c r="AK63" s="90">
        <f t="shared" si="1"/>
        <v>0</v>
      </c>
      <c r="AL63" s="91">
        <f>'Tillegg- Res. Det. Øvrige'!N63</f>
        <v>0</v>
      </c>
      <c r="AM63" s="91" t="str">
        <f>IF(F63=0,"",('Tillegg- Inndata Øvrige'!E63+'Tillegg- Inndata Øvrige'!F63)*ROUNDDOWN('Tillegg- Inndata Øvrige'!I63,0)*(1+'Tillegg- Inndata Øvrige'!K63))</f>
        <v/>
      </c>
      <c r="AO63" s="1"/>
    </row>
    <row r="64" spans="2:41">
      <c r="B64" s="327">
        <f>'Tillegg- Inndata Øvrige'!B62</f>
        <v>0</v>
      </c>
      <c r="C64" s="327">
        <f>'Tillegg- Inndata Øvrige'!C62</f>
        <v>0</v>
      </c>
      <c r="D64" s="327">
        <f>'Tillegg- Inndata Øvrige'!D62</f>
        <v>0</v>
      </c>
      <c r="E64" s="421" cm="1">
        <f t="array" ref="E64">SUM(IFERROR(F64:AF64,0))</f>
        <v>0</v>
      </c>
      <c r="F64" s="330">
        <f>'Tillegg- Inndata Øvrige'!E62</f>
        <v>0</v>
      </c>
      <c r="G64" s="330">
        <f>IF('Tillegg- Inndata Øvrige'!AB62="Ja", -0.8*$F64, 0)</f>
        <v>0</v>
      </c>
      <c r="H64" s="330">
        <f>IF('Tillegg- Inndata Øvrige'!AC62="Ja", -0.4*$F64, 0)</f>
        <v>0</v>
      </c>
      <c r="I64" s="330">
        <f>IF('Tillegg- Inndata Øvrige'!AD62="Ja", -1*$F64, 0)</f>
        <v>0</v>
      </c>
      <c r="J64" s="330">
        <f>'Tillegg- Inndata Øvrige'!O62*'Tillegg- Inndata Øvrige'!P62</f>
        <v>0</v>
      </c>
      <c r="K64" s="330">
        <f>MAX(-0.75*(SUM('Tillegg- Res. Det. Øvrige'!F64:J64)),-'Tillegg- Inndata Øvrige'!O62*'Tillegg- Inndata Øvrige'!Q62)</f>
        <v>0</v>
      </c>
      <c r="L64" s="330">
        <f>'Tillegg- Inndata Øvrige'!S62*'Tillegg- Inndata Øvrige'!T62</f>
        <v>0</v>
      </c>
      <c r="M64" s="330">
        <f>MAX(-0.75*(SUM('Tillegg- Res. Det. Øvrige'!F64:I64,L64)),-'Tillegg- Inndata Øvrige'!S62*'Tillegg- Inndata Øvrige'!U62)</f>
        <v>0</v>
      </c>
      <c r="N64" s="331">
        <f>'Tillegg- Inndata Øvrige'!F62</f>
        <v>0</v>
      </c>
      <c r="O64" s="330">
        <f>'Tillegg- Inndata Øvrige'!O62*'Tillegg- Inndata Øvrige'!R62</f>
        <v>0</v>
      </c>
      <c r="P64" s="332">
        <f>'Tillegg- Inndata Øvrige'!S62*'Tillegg- Inndata Øvrige'!V62</f>
        <v>0</v>
      </c>
      <c r="Q64" s="333">
        <f>SUM(F64:J64,L64)*'Tillegg- Inndata Øvrige'!K62</f>
        <v>0</v>
      </c>
      <c r="R64" s="333">
        <f>(K64+M64)*'Tillegg- Inndata Øvrige'!K62</f>
        <v>0</v>
      </c>
      <c r="S64" s="333">
        <f>SUM(N64:P64)*'Tillegg- Inndata Øvrige'!K62</f>
        <v>0</v>
      </c>
      <c r="T64" s="334">
        <f>('Tillegg- Inndata Øvrige'!G62+'Tillegg- Inndata Øvrige'!O62+'Tillegg- Inndata Øvrige'!S62)*'Tillegg- Inndata Øvrige'!K62*Transport_utslipp_til_avfallshånderting_per_kg</f>
        <v>0</v>
      </c>
      <c r="U64" s="330">
        <f>IF('Tillegg- Inndata Øvrige'!E62 = 0, 0, 1.833*'Tillegg- Inndata Øvrige'!X62*'Tillegg- Inndata Øvrige'!K62*('Tillegg- Inndata Øvrige'!G62*('Tillegg- Inndata Øvrige'!L62*0.5+'Tillegg- Inndata Øvrige'!M62*0.8) + (12/44)*('Tillegg- Inndata Øvrige'!O62*'Tillegg- Inndata Øvrige'!Q62+'Tillegg- Inndata Øvrige'!S62*'Tillegg- Inndata Øvrige'!U62)))</f>
        <v>0</v>
      </c>
      <c r="V64" s="335">
        <f>IF('Tillegg- Inndata Øvrige'!G62 = 0, 0,  MAX(-SUM(F64:J64,L64)*'Tillegg- Inndata Øvrige'!L62, -0.114*IF('Tillegg- Inndata Øvrige'!H62 &gt; 49, _xlfn.XLOOKUP(49, År_etter_ferdigstillelse, karbon_opptak_faktor), _xlfn.XLOOKUP('Tillegg- Inndata Øvrige'!H62, År_etter_ferdigstillelse, karbon_opptak_faktor))*'Tillegg- Inndata Øvrige'!G62*'Tillegg- Inndata Øvrige'!L62*0.5))</f>
        <v>0</v>
      </c>
      <c r="W64" s="333">
        <f>IF('Tillegg- Inndata Øvrige'!G62=0,0,IF('Tillegg- Inndata Øvrige'!H62&gt;49,-0.064*'Tillegg- Inndata Øvrige'!G62*'Tillegg- Inndata Øvrige'!N62,-0.037*'Tillegg- Inndata Øvrige'!J62*'Tillegg- Inndata Øvrige'!N62))</f>
        <v>0</v>
      </c>
      <c r="X64" s="331" cm="1">
        <f t="array" ref="X64">IF(SUM(F64:J64,L64)=0, 0, SUM(F64:J64,L64)*(1+'Tillegg-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Y64" s="330" cm="1">
        <f t="array" ref="Y64">IF(X64=0, 0, SUM(K64,M64)*(1+'Tillegg-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Z64" s="336" cm="1">
        <f t="array" ref="Z64">IF(X64=0, 0, SUM(N64:P64)*(1+'Tillegg-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A64" s="336" cm="1">
        <f t="array" ref="AA64">IF(X64=0, 0, ('Tillegg- Inndata Øvrige'!G62+'Tillegg- Inndata Øvrige'!O62+'Tillegg- Inndata Øvrige'!S62)*(1+'Tillegg- Inndata Øvrige'!K62)*Transport_utslipp_til_avfallshånderting_per_kg*IF('Tillegg-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B64" s="334" cm="1">
        <f t="array" ref="AB64">IF(X64=0, 0,1.833*'Tillegg- Inndata Øvrige'!J62*('Tillegg- Inndata Øvrige'!X62*_xlfn.XLOOKUP(IF('Tillegg- Inndata Øvrige'!I62&lt;2,'Tillegg- Inndata Øvrige'!H62,'Tillegg- Inndata Øvrige'!H62*2), År_etter_ferdigstillelse, Faktorer!$Z$7:$Z$58))*('Tillegg- Inndata Øvrige'!L62*0.5+'Tillegg- Inndata Øvrige'!M62*0.8)*_xlfn.XLOOKUP(IF('Tillegg- Inndata Øvrige'!I62&lt;2,'Tillegg- Inndata Øvrige'!H62,'Tillegg- Inndata Øvrige'!H62*2), År_etter_ferdigstillelse,  IF(LEFT('Tillegg- Inndata Øvrige'!B62, 2)= 49, f_tid_x_f_tek_d_0_037, f_tid_x_f_tek_d_0_01)))</f>
        <v>0</v>
      </c>
      <c r="AC64" s="335">
        <f>IF(('Tillegg- Inndata Øvrige'!G62) = 0, 0,('Tillegg- Inndata Øvrige'!G62*((AG64+AI64)*Transport_utslipp_til_avfallshånderting_per_kg)+('Tillegg- Inndata Øvrige'!Z62*'ZERO-B Beregning'!D164)*IF('ZERO-B Beregning'!F165=0,'ZERO-B Beregning'!D165,'ZERO-B Beregning'!F165))*_xlfn.XLOOKUP(51, År_etter_ferdigstillelse, f_tid_x_f_tek_d_0_01))</f>
        <v>0</v>
      </c>
      <c r="AD64" s="337">
        <f>IF(('Tillegg- Inndata Øvrige'!G62) = 0, 0,1.833*('Tillegg- Inndata Øvrige'!G62*('Tillegg- Inndata Øvrige'!L62*0.5+'Tillegg- Inndata Øvrige'!M62*0.8)*AG64*_xlfn.XLOOKUP(51, År_etter_ferdigstillelse,  f_tid_x_f_tek_d_0_01)))</f>
        <v>0</v>
      </c>
      <c r="AE64" s="333" cm="1">
        <f t="array" ref="AE64">IF(('Tillegg- Inndata Øvrige'!G62) = 0, 0,-0.8*('Tillegg- Inndata Øvrige'!G62)*AH64*('Tillegg- Inndata Øvrige'!E62/'Tillegg- Inndata Øvrige'!G62)*_xlfn.XLOOKUP(51, År_etter_ferdigstillelse,  IF(LEFT('Tillegg- Inndata Øvrige'!B62, 2)= 49, f_tid_x_f_tek_d_0_037, f_tid_x_f_tek_d_0_01)))</f>
        <v>0</v>
      </c>
      <c r="AF64" s="338" cm="1">
        <f t="array" ref="AF64">IF(('Tillegg- Inndata Øvrige'!G62) = 0, 0,-0.1*('Tillegg- Inndata Øvrige'!G62)*AI64*('Tillegg- Inndata Øvrige'!E62/'Tillegg- Inndata Øvrige'!G62)*_xlfn.XLOOKUP(51, År_etter_ferdigstillelse,  IF(LEFT('Tillegg- Inndata Øvrige'!B62, 2)= 49, f_tid_x_f_tek_d_0_037, f_tid_x_f_tek_d_0_01)))</f>
        <v>0</v>
      </c>
      <c r="AG64" s="572">
        <f>IF(('Tillegg- Inndata Øvrige'!G62) = 0, 0,'Tillegg- Inndata Øvrige'!X62*Faktorer!$Z$58)</f>
        <v>0</v>
      </c>
      <c r="AH64" s="573">
        <f>IF(('Tillegg- Inndata Øvrige'!G62) = 0, 0,'Tillegg- Inndata Øvrige'!Z62+('Tillegg- Inndata Øvrige'!X62+'Tillegg- Inndata Øvrige'!Y62)*(1-Faktorer!$Z$58)*0.5)</f>
        <v>0</v>
      </c>
      <c r="AI64" s="574">
        <f>IF(('Tillegg- Inndata Øvrige'!G62) = 0, 0,'Tillegg- Inndata Øvrige'!AA62+('Tillegg- Inndata Øvrige'!X62+'Tillegg- Inndata Øvrige'!Y62)*(1-Faktorer!$Z$58)*0.5)</f>
        <v>0</v>
      </c>
      <c r="AK64" s="90">
        <f t="shared" si="1"/>
        <v>0</v>
      </c>
      <c r="AL64" s="91">
        <f>'Tillegg- Res. Det. Øvrige'!N64</f>
        <v>0</v>
      </c>
      <c r="AM64" s="91" t="str">
        <f>IF(F64=0,"",('Tillegg- Inndata Øvrige'!E64+'Tillegg- Inndata Øvrige'!F64)*ROUNDDOWN('Tillegg- Inndata Øvrige'!I64,0)*(1+'Tillegg- Inndata Øvrige'!K64))</f>
        <v/>
      </c>
      <c r="AO64" s="1"/>
    </row>
    <row r="65" spans="2:41">
      <c r="B65" s="327">
        <f>'Tillegg- Inndata Øvrige'!B63</f>
        <v>0</v>
      </c>
      <c r="C65" s="327">
        <f>'Tillegg- Inndata Øvrige'!C63</f>
        <v>0</v>
      </c>
      <c r="D65" s="327">
        <f>'Tillegg- Inndata Øvrige'!D63</f>
        <v>0</v>
      </c>
      <c r="E65" s="421" cm="1">
        <f t="array" ref="E65">SUM(IFERROR(F65:AF65,0))</f>
        <v>0</v>
      </c>
      <c r="F65" s="330">
        <f>'Tillegg- Inndata Øvrige'!E63</f>
        <v>0</v>
      </c>
      <c r="G65" s="330">
        <f>IF('Tillegg- Inndata Øvrige'!AB63="Ja", -0.8*$F65, 0)</f>
        <v>0</v>
      </c>
      <c r="H65" s="330">
        <f>IF('Tillegg- Inndata Øvrige'!AC63="Ja", -0.4*$F65, 0)</f>
        <v>0</v>
      </c>
      <c r="I65" s="330">
        <f>IF('Tillegg- Inndata Øvrige'!AD63="Ja", -1*$F65, 0)</f>
        <v>0</v>
      </c>
      <c r="J65" s="330">
        <f>'Tillegg- Inndata Øvrige'!O63*'Tillegg- Inndata Øvrige'!P63</f>
        <v>0</v>
      </c>
      <c r="K65" s="330">
        <f>MAX(-0.75*(SUM('Tillegg- Res. Det. Øvrige'!F65:J65)),-'Tillegg- Inndata Øvrige'!O63*'Tillegg- Inndata Øvrige'!Q63)</f>
        <v>0</v>
      </c>
      <c r="L65" s="330">
        <f>'Tillegg- Inndata Øvrige'!S63*'Tillegg- Inndata Øvrige'!T63</f>
        <v>0</v>
      </c>
      <c r="M65" s="330">
        <f>MAX(-0.75*(SUM('Tillegg- Res. Det. Øvrige'!F65:I65,L65)),-'Tillegg- Inndata Øvrige'!S63*'Tillegg- Inndata Øvrige'!U63)</f>
        <v>0</v>
      </c>
      <c r="N65" s="331">
        <f>'Tillegg- Inndata Øvrige'!F63</f>
        <v>0</v>
      </c>
      <c r="O65" s="330">
        <f>'Tillegg- Inndata Øvrige'!O63*'Tillegg- Inndata Øvrige'!R63</f>
        <v>0</v>
      </c>
      <c r="P65" s="332">
        <f>'Tillegg- Inndata Øvrige'!S63*'Tillegg- Inndata Øvrige'!V63</f>
        <v>0</v>
      </c>
      <c r="Q65" s="333">
        <f>SUM(F65:J65,L65)*'Tillegg- Inndata Øvrige'!K63</f>
        <v>0</v>
      </c>
      <c r="R65" s="333">
        <f>(K65+M65)*'Tillegg- Inndata Øvrige'!K63</f>
        <v>0</v>
      </c>
      <c r="S65" s="333">
        <f>SUM(N65:P65)*'Tillegg- Inndata Øvrige'!K63</f>
        <v>0</v>
      </c>
      <c r="T65" s="334">
        <f>('Tillegg- Inndata Øvrige'!G63+'Tillegg- Inndata Øvrige'!O63+'Tillegg- Inndata Øvrige'!S63)*'Tillegg- Inndata Øvrige'!K63*Transport_utslipp_til_avfallshånderting_per_kg</f>
        <v>0</v>
      </c>
      <c r="U65" s="330">
        <f>IF('Tillegg- Inndata Øvrige'!E63 = 0, 0, 1.833*'Tillegg- Inndata Øvrige'!X63*'Tillegg- Inndata Øvrige'!K63*('Tillegg- Inndata Øvrige'!G63*('Tillegg- Inndata Øvrige'!L63*0.5+'Tillegg- Inndata Øvrige'!M63*0.8) + (12/44)*('Tillegg- Inndata Øvrige'!O63*'Tillegg- Inndata Øvrige'!Q63+'Tillegg- Inndata Øvrige'!S63*'Tillegg- Inndata Øvrige'!U63)))</f>
        <v>0</v>
      </c>
      <c r="V65" s="335">
        <f>IF('Tillegg- Inndata Øvrige'!G63 = 0, 0,  MAX(-SUM(F65:J65,L65)*'Tillegg- Inndata Øvrige'!L63, -0.114*IF('Tillegg- Inndata Øvrige'!H63 &gt; 49, _xlfn.XLOOKUP(49, År_etter_ferdigstillelse, karbon_opptak_faktor), _xlfn.XLOOKUP('Tillegg- Inndata Øvrige'!H63, År_etter_ferdigstillelse, karbon_opptak_faktor))*'Tillegg- Inndata Øvrige'!G63*'Tillegg- Inndata Øvrige'!L63*0.5))</f>
        <v>0</v>
      </c>
      <c r="W65" s="333">
        <f>IF('Tillegg- Inndata Øvrige'!G63=0,0,IF('Tillegg- Inndata Øvrige'!H63&gt;49,-0.064*'Tillegg- Inndata Øvrige'!G63*'Tillegg- Inndata Øvrige'!N63,-0.037*'Tillegg- Inndata Øvrige'!J63*'Tillegg- Inndata Øvrige'!N63))</f>
        <v>0</v>
      </c>
      <c r="X65" s="331" cm="1">
        <f t="array" ref="X65">IF(SUM(F65:J65,L65)=0, 0, SUM(F65:J65,L65)*(1+'Tillegg-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Y65" s="330" cm="1">
        <f t="array" ref="Y65">IF(X65=0, 0, SUM(K65,M65)*(1+'Tillegg-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Z65" s="336" cm="1">
        <f t="array" ref="Z65">IF(X65=0, 0, SUM(N65:P65)*(1+'Tillegg-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A65" s="336" cm="1">
        <f t="array" ref="AA65">IF(X65=0, 0, ('Tillegg- Inndata Øvrige'!G63+'Tillegg- Inndata Øvrige'!O63+'Tillegg- Inndata Øvrige'!S63)*(1+'Tillegg- Inndata Øvrige'!K63)*Transport_utslipp_til_avfallshånderting_per_kg*IF('Tillegg-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B65" s="334" cm="1">
        <f t="array" ref="AB65">IF(X65=0, 0,1.833*'Tillegg- Inndata Øvrige'!J63*('Tillegg- Inndata Øvrige'!X63*_xlfn.XLOOKUP(IF('Tillegg- Inndata Øvrige'!I63&lt;2,'Tillegg- Inndata Øvrige'!H63,'Tillegg- Inndata Øvrige'!H63*2), År_etter_ferdigstillelse, Faktorer!$Z$7:$Z$58))*('Tillegg- Inndata Øvrige'!L63*0.5+'Tillegg- Inndata Øvrige'!M63*0.8)*_xlfn.XLOOKUP(IF('Tillegg- Inndata Øvrige'!I63&lt;2,'Tillegg- Inndata Øvrige'!H63,'Tillegg- Inndata Øvrige'!H63*2), År_etter_ferdigstillelse,  IF(LEFT('Tillegg- Inndata Øvrige'!B63, 2)= 49, f_tid_x_f_tek_d_0_037, f_tid_x_f_tek_d_0_01)))</f>
        <v>0</v>
      </c>
      <c r="AC65" s="335">
        <f>IF(('Tillegg- Inndata Øvrige'!G63) = 0, 0,('Tillegg- Inndata Øvrige'!G63*((AG65+AI65)*Transport_utslipp_til_avfallshånderting_per_kg)+('Tillegg- Inndata Øvrige'!Z63*'ZERO-B Beregning'!D165)*IF('ZERO-B Beregning'!F166=0,'ZERO-B Beregning'!D166,'ZERO-B Beregning'!F166))*_xlfn.XLOOKUP(51, År_etter_ferdigstillelse, f_tid_x_f_tek_d_0_01))</f>
        <v>0</v>
      </c>
      <c r="AD65" s="337">
        <f>IF(('Tillegg- Inndata Øvrige'!G63) = 0, 0,1.833*('Tillegg- Inndata Øvrige'!G63*('Tillegg- Inndata Øvrige'!L63*0.5+'Tillegg- Inndata Øvrige'!M63*0.8)*AG65*_xlfn.XLOOKUP(51, År_etter_ferdigstillelse,  f_tid_x_f_tek_d_0_01)))</f>
        <v>0</v>
      </c>
      <c r="AE65" s="333" cm="1">
        <f t="array" ref="AE65">IF(('Tillegg- Inndata Øvrige'!G63) = 0, 0,-0.8*('Tillegg- Inndata Øvrige'!G63)*AH65*('Tillegg- Inndata Øvrige'!E63/'Tillegg- Inndata Øvrige'!G63)*_xlfn.XLOOKUP(51, År_etter_ferdigstillelse,  IF(LEFT('Tillegg- Inndata Øvrige'!B63, 2)= 49, f_tid_x_f_tek_d_0_037, f_tid_x_f_tek_d_0_01)))</f>
        <v>0</v>
      </c>
      <c r="AF65" s="338" cm="1">
        <f t="array" ref="AF65">IF(('Tillegg- Inndata Øvrige'!G63) = 0, 0,-0.1*('Tillegg- Inndata Øvrige'!G63)*AI65*('Tillegg- Inndata Øvrige'!E63/'Tillegg- Inndata Øvrige'!G63)*_xlfn.XLOOKUP(51, År_etter_ferdigstillelse,  IF(LEFT('Tillegg- Inndata Øvrige'!B63, 2)= 49, f_tid_x_f_tek_d_0_037, f_tid_x_f_tek_d_0_01)))</f>
        <v>0</v>
      </c>
      <c r="AG65" s="572">
        <f>IF(('Tillegg- Inndata Øvrige'!G63) = 0, 0,'Tillegg- Inndata Øvrige'!X63*Faktorer!$Z$58)</f>
        <v>0</v>
      </c>
      <c r="AH65" s="573">
        <f>IF(('Tillegg- Inndata Øvrige'!G63) = 0, 0,'Tillegg- Inndata Øvrige'!Z63+('Tillegg- Inndata Øvrige'!X63+'Tillegg- Inndata Øvrige'!Y63)*(1-Faktorer!$Z$58)*0.5)</f>
        <v>0</v>
      </c>
      <c r="AI65" s="574">
        <f>IF(('Tillegg- Inndata Øvrige'!G63) = 0, 0,'Tillegg- Inndata Øvrige'!AA63+('Tillegg- Inndata Øvrige'!X63+'Tillegg- Inndata Øvrige'!Y63)*(1-Faktorer!$Z$58)*0.5)</f>
        <v>0</v>
      </c>
      <c r="AK65" s="90">
        <f t="shared" si="1"/>
        <v>0</v>
      </c>
      <c r="AL65" s="91">
        <f>'Tillegg- Res. Det. Øvrige'!N65</f>
        <v>0</v>
      </c>
      <c r="AM65" s="91" t="str">
        <f>IF(F65=0,"",('Tillegg- Inndata Øvrige'!E65+'Tillegg- Inndata Øvrige'!F65)*ROUNDDOWN('Tillegg- Inndata Øvrige'!I65,0)*(1+'Tillegg- Inndata Øvrige'!K65))</f>
        <v/>
      </c>
      <c r="AO65" s="1"/>
    </row>
    <row r="66" spans="2:41">
      <c r="B66" s="327">
        <f>'Tillegg- Inndata Øvrige'!B64</f>
        <v>0</v>
      </c>
      <c r="C66" s="327">
        <f>'Tillegg- Inndata Øvrige'!C64</f>
        <v>0</v>
      </c>
      <c r="D66" s="327">
        <f>'Tillegg- Inndata Øvrige'!D64</f>
        <v>0</v>
      </c>
      <c r="E66" s="421" cm="1">
        <f t="array" ref="E66">SUM(IFERROR(F66:AF66,0))</f>
        <v>0</v>
      </c>
      <c r="F66" s="330">
        <f>'Tillegg- Inndata Øvrige'!E64</f>
        <v>0</v>
      </c>
      <c r="G66" s="330">
        <f>IF('Tillegg- Inndata Øvrige'!AB64="Ja", -0.8*$F66, 0)</f>
        <v>0</v>
      </c>
      <c r="H66" s="330">
        <f>IF('Tillegg- Inndata Øvrige'!AC64="Ja", -0.4*$F66, 0)</f>
        <v>0</v>
      </c>
      <c r="I66" s="330">
        <f>IF('Tillegg- Inndata Øvrige'!AD64="Ja", -1*$F66, 0)</f>
        <v>0</v>
      </c>
      <c r="J66" s="330">
        <f>'Tillegg- Inndata Øvrige'!O64*'Tillegg- Inndata Øvrige'!P64</f>
        <v>0</v>
      </c>
      <c r="K66" s="330">
        <f>MAX(-0.75*(SUM('Tillegg- Res. Det. Øvrige'!F66:J66)),-'Tillegg- Inndata Øvrige'!O64*'Tillegg- Inndata Øvrige'!Q64)</f>
        <v>0</v>
      </c>
      <c r="L66" s="330">
        <f>'Tillegg- Inndata Øvrige'!S64*'Tillegg- Inndata Øvrige'!T64</f>
        <v>0</v>
      </c>
      <c r="M66" s="330">
        <f>MAX(-0.75*(SUM('Tillegg- Res. Det. Øvrige'!F66:I66,L66)),-'Tillegg- Inndata Øvrige'!S64*'Tillegg- Inndata Øvrige'!U64)</f>
        <v>0</v>
      </c>
      <c r="N66" s="331">
        <f>'Tillegg- Inndata Øvrige'!F64</f>
        <v>0</v>
      </c>
      <c r="O66" s="330">
        <f>'Tillegg- Inndata Øvrige'!O64*'Tillegg- Inndata Øvrige'!R64</f>
        <v>0</v>
      </c>
      <c r="P66" s="332">
        <f>'Tillegg- Inndata Øvrige'!S64*'Tillegg- Inndata Øvrige'!V64</f>
        <v>0</v>
      </c>
      <c r="Q66" s="333">
        <f>SUM(F66:J66,L66)*'Tillegg- Inndata Øvrige'!K64</f>
        <v>0</v>
      </c>
      <c r="R66" s="333">
        <f>(K66+M66)*'Tillegg- Inndata Øvrige'!K64</f>
        <v>0</v>
      </c>
      <c r="S66" s="333">
        <f>SUM(N66:P66)*'Tillegg- Inndata Øvrige'!K64</f>
        <v>0</v>
      </c>
      <c r="T66" s="334">
        <f>('Tillegg- Inndata Øvrige'!G64+'Tillegg- Inndata Øvrige'!O64+'Tillegg- Inndata Øvrige'!S64)*'Tillegg- Inndata Øvrige'!K64*Transport_utslipp_til_avfallshånderting_per_kg</f>
        <v>0</v>
      </c>
      <c r="U66" s="330">
        <f>IF('Tillegg- Inndata Øvrige'!E64 = 0, 0, 1.833*'Tillegg- Inndata Øvrige'!X64*'Tillegg- Inndata Øvrige'!K64*('Tillegg- Inndata Øvrige'!G64*('Tillegg- Inndata Øvrige'!L64*0.5+'Tillegg- Inndata Øvrige'!M64*0.8) + (12/44)*('Tillegg- Inndata Øvrige'!O64*'Tillegg- Inndata Øvrige'!Q64+'Tillegg- Inndata Øvrige'!S64*'Tillegg- Inndata Øvrige'!U64)))</f>
        <v>0</v>
      </c>
      <c r="V66" s="335">
        <f>IF('Tillegg- Inndata Øvrige'!G64 = 0, 0,  MAX(-SUM(F66:J66,L66)*'Tillegg- Inndata Øvrige'!L64, -0.114*IF('Tillegg- Inndata Øvrige'!H64 &gt; 49, _xlfn.XLOOKUP(49, År_etter_ferdigstillelse, karbon_opptak_faktor), _xlfn.XLOOKUP('Tillegg- Inndata Øvrige'!H64, År_etter_ferdigstillelse, karbon_opptak_faktor))*'Tillegg- Inndata Øvrige'!G64*'Tillegg- Inndata Øvrige'!L64*0.5))</f>
        <v>0</v>
      </c>
      <c r="W66" s="333">
        <f>IF('Tillegg- Inndata Øvrige'!G64=0,0,IF('Tillegg- Inndata Øvrige'!H64&gt;49,-0.064*'Tillegg- Inndata Øvrige'!G64*'Tillegg- Inndata Øvrige'!N64,-0.037*'Tillegg- Inndata Øvrige'!J64*'Tillegg- Inndata Øvrige'!N64))</f>
        <v>0</v>
      </c>
      <c r="X66" s="331" cm="1">
        <f t="array" ref="X66">IF(SUM(F66:J66,L66)=0, 0, SUM(F66:J66,L66)*(1+'Tillegg-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Y66" s="330" cm="1">
        <f t="array" ref="Y66">IF(X66=0, 0, SUM(K66,M66)*(1+'Tillegg-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Z66" s="336" cm="1">
        <f t="array" ref="Z66">IF(X66=0, 0, SUM(N66:P66)*(1+'Tillegg-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A66" s="336" cm="1">
        <f t="array" ref="AA66">IF(X66=0, 0, ('Tillegg- Inndata Øvrige'!G64+'Tillegg- Inndata Øvrige'!O64+'Tillegg- Inndata Øvrige'!S64)*(1+'Tillegg- Inndata Øvrige'!K64)*Transport_utslipp_til_avfallshånderting_per_kg*IF('Tillegg-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B66" s="334" cm="1">
        <f t="array" ref="AB66">IF(X66=0, 0,1.833*'Tillegg- Inndata Øvrige'!J64*('Tillegg- Inndata Øvrige'!X64*_xlfn.XLOOKUP(IF('Tillegg- Inndata Øvrige'!I64&lt;2,'Tillegg- Inndata Øvrige'!H64,'Tillegg- Inndata Øvrige'!H64*2), År_etter_ferdigstillelse, Faktorer!$Z$7:$Z$58))*('Tillegg- Inndata Øvrige'!L64*0.5+'Tillegg- Inndata Øvrige'!M64*0.8)*_xlfn.XLOOKUP(IF('Tillegg- Inndata Øvrige'!I64&lt;2,'Tillegg- Inndata Øvrige'!H64,'Tillegg- Inndata Øvrige'!H64*2), År_etter_ferdigstillelse,  IF(LEFT('Tillegg- Inndata Øvrige'!B64, 2)= 49, f_tid_x_f_tek_d_0_037, f_tid_x_f_tek_d_0_01)))</f>
        <v>0</v>
      </c>
      <c r="AC66" s="335">
        <f>IF(('Tillegg- Inndata Øvrige'!G64) = 0, 0,('Tillegg- Inndata Øvrige'!G64*((AG66+AI66)*Transport_utslipp_til_avfallshånderting_per_kg)+('Tillegg- Inndata Øvrige'!Z64*'ZERO-B Beregning'!D166)*IF('ZERO-B Beregning'!F167=0,'ZERO-B Beregning'!D167,'ZERO-B Beregning'!F167))*_xlfn.XLOOKUP(51, År_etter_ferdigstillelse, f_tid_x_f_tek_d_0_01))</f>
        <v>0</v>
      </c>
      <c r="AD66" s="337">
        <f>IF(('Tillegg- Inndata Øvrige'!G64) = 0, 0,1.833*('Tillegg- Inndata Øvrige'!G64*('Tillegg- Inndata Øvrige'!L64*0.5+'Tillegg- Inndata Øvrige'!M64*0.8)*AG66*_xlfn.XLOOKUP(51, År_etter_ferdigstillelse,  f_tid_x_f_tek_d_0_01)))</f>
        <v>0</v>
      </c>
      <c r="AE66" s="333" cm="1">
        <f t="array" ref="AE66">IF(('Tillegg- Inndata Øvrige'!G64) = 0, 0,-0.8*('Tillegg- Inndata Øvrige'!G64)*AH66*('Tillegg- Inndata Øvrige'!E64/'Tillegg- Inndata Øvrige'!G64)*_xlfn.XLOOKUP(51, År_etter_ferdigstillelse,  IF(LEFT('Tillegg- Inndata Øvrige'!B64, 2)= 49, f_tid_x_f_tek_d_0_037, f_tid_x_f_tek_d_0_01)))</f>
        <v>0</v>
      </c>
      <c r="AF66" s="338" cm="1">
        <f t="array" ref="AF66">IF(('Tillegg- Inndata Øvrige'!G64) = 0, 0,-0.1*('Tillegg- Inndata Øvrige'!G64)*AI66*('Tillegg- Inndata Øvrige'!E64/'Tillegg- Inndata Øvrige'!G64)*_xlfn.XLOOKUP(51, År_etter_ferdigstillelse,  IF(LEFT('Tillegg- Inndata Øvrige'!B64, 2)= 49, f_tid_x_f_tek_d_0_037, f_tid_x_f_tek_d_0_01)))</f>
        <v>0</v>
      </c>
      <c r="AG66" s="572">
        <f>IF(('Tillegg- Inndata Øvrige'!G64) = 0, 0,'Tillegg- Inndata Øvrige'!X64*Faktorer!$Z$58)</f>
        <v>0</v>
      </c>
      <c r="AH66" s="573">
        <f>IF(('Tillegg- Inndata Øvrige'!G64) = 0, 0,'Tillegg- Inndata Øvrige'!Z64+('Tillegg- Inndata Øvrige'!X64+'Tillegg- Inndata Øvrige'!Y64)*(1-Faktorer!$Z$58)*0.5)</f>
        <v>0</v>
      </c>
      <c r="AI66" s="574">
        <f>IF(('Tillegg- Inndata Øvrige'!G64) = 0, 0,'Tillegg- Inndata Øvrige'!AA64+('Tillegg- Inndata Øvrige'!X64+'Tillegg- Inndata Øvrige'!Y64)*(1-Faktorer!$Z$58)*0.5)</f>
        <v>0</v>
      </c>
      <c r="AK66" s="90">
        <f t="shared" si="1"/>
        <v>0</v>
      </c>
      <c r="AL66" s="91">
        <f>'Tillegg- Res. Det. Øvrige'!N66</f>
        <v>0</v>
      </c>
      <c r="AM66" s="91" t="str">
        <f>IF(F66=0,"",('Tillegg- Inndata Øvrige'!E66+'Tillegg- Inndata Øvrige'!F66)*ROUNDDOWN('Tillegg- Inndata Øvrige'!I66,0)*(1+'Tillegg- Inndata Øvrige'!K66))</f>
        <v/>
      </c>
      <c r="AO66" s="1"/>
    </row>
    <row r="67" spans="2:41">
      <c r="B67" s="327">
        <f>'Tillegg- Inndata Øvrige'!B65</f>
        <v>0</v>
      </c>
      <c r="C67" s="327">
        <f>'Tillegg- Inndata Øvrige'!C65</f>
        <v>0</v>
      </c>
      <c r="D67" s="327">
        <f>'Tillegg- Inndata Øvrige'!D65</f>
        <v>0</v>
      </c>
      <c r="E67" s="421" cm="1">
        <f t="array" ref="E67">SUM(IFERROR(F67:AF67,0))</f>
        <v>0</v>
      </c>
      <c r="F67" s="330">
        <f>'Tillegg- Inndata Øvrige'!E65</f>
        <v>0</v>
      </c>
      <c r="G67" s="330">
        <f>IF('Tillegg- Inndata Øvrige'!AB65="Ja", -0.8*$F67, 0)</f>
        <v>0</v>
      </c>
      <c r="H67" s="330">
        <f>IF('Tillegg- Inndata Øvrige'!AC65="Ja", -0.4*$F67, 0)</f>
        <v>0</v>
      </c>
      <c r="I67" s="330">
        <f>IF('Tillegg- Inndata Øvrige'!AD65="Ja", -1*$F67, 0)</f>
        <v>0</v>
      </c>
      <c r="J67" s="330">
        <f>'Tillegg- Inndata Øvrige'!O65*'Tillegg- Inndata Øvrige'!P65</f>
        <v>0</v>
      </c>
      <c r="K67" s="330">
        <f>MAX(-0.75*(SUM('Tillegg- Res. Det. Øvrige'!F67:J67)),-'Tillegg- Inndata Øvrige'!O65*'Tillegg- Inndata Øvrige'!Q65)</f>
        <v>0</v>
      </c>
      <c r="L67" s="330">
        <f>'Tillegg- Inndata Øvrige'!S65*'Tillegg- Inndata Øvrige'!T65</f>
        <v>0</v>
      </c>
      <c r="M67" s="330">
        <f>MAX(-0.75*(SUM('Tillegg- Res. Det. Øvrige'!F67:I67,L67)),-'Tillegg- Inndata Øvrige'!S65*'Tillegg- Inndata Øvrige'!U65)</f>
        <v>0</v>
      </c>
      <c r="N67" s="331">
        <f>'Tillegg- Inndata Øvrige'!F65</f>
        <v>0</v>
      </c>
      <c r="O67" s="330">
        <f>'Tillegg- Inndata Øvrige'!O65*'Tillegg- Inndata Øvrige'!R65</f>
        <v>0</v>
      </c>
      <c r="P67" s="332">
        <f>'Tillegg- Inndata Øvrige'!S65*'Tillegg- Inndata Øvrige'!V65</f>
        <v>0</v>
      </c>
      <c r="Q67" s="333">
        <f>SUM(F67:J67,L67)*'Tillegg- Inndata Øvrige'!K65</f>
        <v>0</v>
      </c>
      <c r="R67" s="333">
        <f>(K67+M67)*'Tillegg- Inndata Øvrige'!K65</f>
        <v>0</v>
      </c>
      <c r="S67" s="333">
        <f>SUM(N67:P67)*'Tillegg- Inndata Øvrige'!K65</f>
        <v>0</v>
      </c>
      <c r="T67" s="334">
        <f>('Tillegg- Inndata Øvrige'!G65+'Tillegg- Inndata Øvrige'!O65+'Tillegg- Inndata Øvrige'!S65)*'Tillegg- Inndata Øvrige'!K65*Transport_utslipp_til_avfallshånderting_per_kg</f>
        <v>0</v>
      </c>
      <c r="U67" s="330">
        <f>IF('Tillegg- Inndata Øvrige'!E65 = 0, 0, 1.833*'Tillegg- Inndata Øvrige'!X65*'Tillegg- Inndata Øvrige'!K65*('Tillegg- Inndata Øvrige'!G65*('Tillegg- Inndata Øvrige'!L65*0.5+'Tillegg- Inndata Øvrige'!M65*0.8) + (12/44)*('Tillegg- Inndata Øvrige'!O65*'Tillegg- Inndata Øvrige'!Q65+'Tillegg- Inndata Øvrige'!S65*'Tillegg- Inndata Øvrige'!U65)))</f>
        <v>0</v>
      </c>
      <c r="V67" s="335">
        <f>IF('Tillegg- Inndata Øvrige'!G65 = 0, 0,  MAX(-SUM(F67:J67,L67)*'Tillegg- Inndata Øvrige'!L65, -0.114*IF('Tillegg- Inndata Øvrige'!H65 &gt; 49, _xlfn.XLOOKUP(49, År_etter_ferdigstillelse, karbon_opptak_faktor), _xlfn.XLOOKUP('Tillegg- Inndata Øvrige'!H65, År_etter_ferdigstillelse, karbon_opptak_faktor))*'Tillegg- Inndata Øvrige'!G65*'Tillegg- Inndata Øvrige'!L65*0.5))</f>
        <v>0</v>
      </c>
      <c r="W67" s="333">
        <f>IF('Tillegg- Inndata Øvrige'!G65=0,0,IF('Tillegg- Inndata Øvrige'!H65&gt;49,-0.064*'Tillegg- Inndata Øvrige'!G65*'Tillegg- Inndata Øvrige'!N65,-0.037*'Tillegg- Inndata Øvrige'!J65*'Tillegg- Inndata Øvrige'!N65))</f>
        <v>0</v>
      </c>
      <c r="X67" s="331" cm="1">
        <f t="array" ref="X67">IF(SUM(F67:J67,L67)=0, 0, SUM(F67:J67,L67)*(1+'Tillegg-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Y67" s="330" cm="1">
        <f t="array" ref="Y67">IF(X67=0, 0, SUM(K67,M67)*(1+'Tillegg-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Z67" s="336" cm="1">
        <f t="array" ref="Z67">IF(X67=0, 0, SUM(N67:P67)*(1+'Tillegg-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A67" s="336" cm="1">
        <f t="array" ref="AA67">IF(X67=0, 0, ('Tillegg- Inndata Øvrige'!G65+'Tillegg- Inndata Øvrige'!O65+'Tillegg- Inndata Øvrige'!S65)*(1+'Tillegg- Inndata Øvrige'!K65)*Transport_utslipp_til_avfallshånderting_per_kg*IF('Tillegg-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B67" s="334" cm="1">
        <f t="array" ref="AB67">IF(X67=0, 0,1.833*'Tillegg- Inndata Øvrige'!J65*('Tillegg- Inndata Øvrige'!X65*_xlfn.XLOOKUP(IF('Tillegg- Inndata Øvrige'!I65&lt;2,'Tillegg- Inndata Øvrige'!H65,'Tillegg- Inndata Øvrige'!H65*2), År_etter_ferdigstillelse, Faktorer!$Z$7:$Z$58))*('Tillegg- Inndata Øvrige'!L65*0.5+'Tillegg- Inndata Øvrige'!M65*0.8)*_xlfn.XLOOKUP(IF('Tillegg- Inndata Øvrige'!I65&lt;2,'Tillegg- Inndata Øvrige'!H65,'Tillegg- Inndata Øvrige'!H65*2), År_etter_ferdigstillelse,  IF(LEFT('Tillegg- Inndata Øvrige'!B65, 2)= 49, f_tid_x_f_tek_d_0_037, f_tid_x_f_tek_d_0_01)))</f>
        <v>0</v>
      </c>
      <c r="AC67" s="335">
        <f>IF(('Tillegg- Inndata Øvrige'!G65) = 0, 0,('Tillegg- Inndata Øvrige'!G65*((AG67+AI67)*Transport_utslipp_til_avfallshånderting_per_kg)+('Tillegg- Inndata Øvrige'!Z65*'ZERO-B Beregning'!D167)*IF('ZERO-B Beregning'!F168=0,'ZERO-B Beregning'!D168,'ZERO-B Beregning'!F168))*_xlfn.XLOOKUP(51, År_etter_ferdigstillelse, f_tid_x_f_tek_d_0_01))</f>
        <v>0</v>
      </c>
      <c r="AD67" s="337">
        <f>IF(('Tillegg- Inndata Øvrige'!G65) = 0, 0,1.833*('Tillegg- Inndata Øvrige'!G65*('Tillegg- Inndata Øvrige'!L65*0.5+'Tillegg- Inndata Øvrige'!M65*0.8)*AG67*_xlfn.XLOOKUP(51, År_etter_ferdigstillelse,  f_tid_x_f_tek_d_0_01)))</f>
        <v>0</v>
      </c>
      <c r="AE67" s="333" cm="1">
        <f t="array" ref="AE67">IF(('Tillegg- Inndata Øvrige'!G65) = 0, 0,-0.8*('Tillegg- Inndata Øvrige'!G65)*AH67*('Tillegg- Inndata Øvrige'!E65/'Tillegg- Inndata Øvrige'!G65)*_xlfn.XLOOKUP(51, År_etter_ferdigstillelse,  IF(LEFT('Tillegg- Inndata Øvrige'!B65, 2)= 49, f_tid_x_f_tek_d_0_037, f_tid_x_f_tek_d_0_01)))</f>
        <v>0</v>
      </c>
      <c r="AF67" s="338" cm="1">
        <f t="array" ref="AF67">IF(('Tillegg- Inndata Øvrige'!G65) = 0, 0,-0.1*('Tillegg- Inndata Øvrige'!G65)*AI67*('Tillegg- Inndata Øvrige'!E65/'Tillegg- Inndata Øvrige'!G65)*_xlfn.XLOOKUP(51, År_etter_ferdigstillelse,  IF(LEFT('Tillegg- Inndata Øvrige'!B65, 2)= 49, f_tid_x_f_tek_d_0_037, f_tid_x_f_tek_d_0_01)))</f>
        <v>0</v>
      </c>
      <c r="AG67" s="572">
        <f>IF(('Tillegg- Inndata Øvrige'!G65) = 0, 0,'Tillegg- Inndata Øvrige'!X65*Faktorer!$Z$58)</f>
        <v>0</v>
      </c>
      <c r="AH67" s="573">
        <f>IF(('Tillegg- Inndata Øvrige'!G65) = 0, 0,'Tillegg- Inndata Øvrige'!Z65+('Tillegg- Inndata Øvrige'!X65+'Tillegg- Inndata Øvrige'!Y65)*(1-Faktorer!$Z$58)*0.5)</f>
        <v>0</v>
      </c>
      <c r="AI67" s="574">
        <f>IF(('Tillegg- Inndata Øvrige'!G65) = 0, 0,'Tillegg- Inndata Øvrige'!AA65+('Tillegg- Inndata Øvrige'!X65+'Tillegg- Inndata Øvrige'!Y65)*(1-Faktorer!$Z$58)*0.5)</f>
        <v>0</v>
      </c>
      <c r="AK67" s="90">
        <f t="shared" si="1"/>
        <v>0</v>
      </c>
      <c r="AL67" s="91">
        <f>'Tillegg- Res. Det. Øvrige'!N67</f>
        <v>0</v>
      </c>
      <c r="AM67" s="91" t="str">
        <f>IF(F67=0,"",('Tillegg- Inndata Øvrige'!E67+'Tillegg- Inndata Øvrige'!F67)*ROUNDDOWN('Tillegg- Inndata Øvrige'!I67,0)*(1+'Tillegg- Inndata Øvrige'!K67))</f>
        <v/>
      </c>
      <c r="AO67" s="1"/>
    </row>
    <row r="68" spans="2:41">
      <c r="B68" s="327">
        <f>'Tillegg- Inndata Øvrige'!B66</f>
        <v>0</v>
      </c>
      <c r="C68" s="327">
        <f>'Tillegg- Inndata Øvrige'!C66</f>
        <v>0</v>
      </c>
      <c r="D68" s="327">
        <f>'Tillegg- Inndata Øvrige'!D66</f>
        <v>0</v>
      </c>
      <c r="E68" s="421" cm="1">
        <f t="array" ref="E68">SUM(IFERROR(F68:AF68,0))</f>
        <v>0</v>
      </c>
      <c r="F68" s="330">
        <f>'Tillegg- Inndata Øvrige'!E66</f>
        <v>0</v>
      </c>
      <c r="G68" s="330">
        <f>IF('Tillegg- Inndata Øvrige'!AB66="Ja", -0.8*$F68, 0)</f>
        <v>0</v>
      </c>
      <c r="H68" s="330">
        <f>IF('Tillegg- Inndata Øvrige'!AC66="Ja", -0.4*$F68, 0)</f>
        <v>0</v>
      </c>
      <c r="I68" s="330">
        <f>IF('Tillegg- Inndata Øvrige'!AD66="Ja", -1*$F68, 0)</f>
        <v>0</v>
      </c>
      <c r="J68" s="330">
        <f>'Tillegg- Inndata Øvrige'!O66*'Tillegg- Inndata Øvrige'!P66</f>
        <v>0</v>
      </c>
      <c r="K68" s="330">
        <f>MAX(-0.75*(SUM('Tillegg- Res. Det. Øvrige'!F68:J68)),-'Tillegg- Inndata Øvrige'!O66*'Tillegg- Inndata Øvrige'!Q66)</f>
        <v>0</v>
      </c>
      <c r="L68" s="330">
        <f>'Tillegg- Inndata Øvrige'!S66*'Tillegg- Inndata Øvrige'!T66</f>
        <v>0</v>
      </c>
      <c r="M68" s="330">
        <f>MAX(-0.75*(SUM('Tillegg- Res. Det. Øvrige'!F68:I68,L68)),-'Tillegg- Inndata Øvrige'!S66*'Tillegg- Inndata Øvrige'!U66)</f>
        <v>0</v>
      </c>
      <c r="N68" s="331">
        <f>'Tillegg- Inndata Øvrige'!F66</f>
        <v>0</v>
      </c>
      <c r="O68" s="330">
        <f>'Tillegg- Inndata Øvrige'!O66*'Tillegg- Inndata Øvrige'!R66</f>
        <v>0</v>
      </c>
      <c r="P68" s="332">
        <f>'Tillegg- Inndata Øvrige'!S66*'Tillegg- Inndata Øvrige'!V66</f>
        <v>0</v>
      </c>
      <c r="Q68" s="333">
        <f>SUM(F68:J68,L68)*'Tillegg- Inndata Øvrige'!K66</f>
        <v>0</v>
      </c>
      <c r="R68" s="333">
        <f>(K68+M68)*'Tillegg- Inndata Øvrige'!K66</f>
        <v>0</v>
      </c>
      <c r="S68" s="333">
        <f>SUM(N68:P68)*'Tillegg- Inndata Øvrige'!K66</f>
        <v>0</v>
      </c>
      <c r="T68" s="334">
        <f>('Tillegg- Inndata Øvrige'!G66+'Tillegg- Inndata Øvrige'!O66+'Tillegg- Inndata Øvrige'!S66)*'Tillegg- Inndata Øvrige'!K66*Transport_utslipp_til_avfallshånderting_per_kg</f>
        <v>0</v>
      </c>
      <c r="U68" s="330">
        <f>IF('Tillegg- Inndata Øvrige'!E66 = 0, 0, 1.833*'Tillegg- Inndata Øvrige'!X66*'Tillegg- Inndata Øvrige'!K66*('Tillegg- Inndata Øvrige'!G66*('Tillegg- Inndata Øvrige'!L66*0.5+'Tillegg- Inndata Øvrige'!M66*0.8) + (12/44)*('Tillegg- Inndata Øvrige'!O66*'Tillegg- Inndata Øvrige'!Q66+'Tillegg- Inndata Øvrige'!S66*'Tillegg- Inndata Øvrige'!U66)))</f>
        <v>0</v>
      </c>
      <c r="V68" s="335">
        <f>IF('Tillegg- Inndata Øvrige'!G66 = 0, 0,  MAX(-SUM(F68:J68,L68)*'Tillegg- Inndata Øvrige'!L66, -0.114*IF('Tillegg- Inndata Øvrige'!H66 &gt; 49, _xlfn.XLOOKUP(49, År_etter_ferdigstillelse, karbon_opptak_faktor), _xlfn.XLOOKUP('Tillegg- Inndata Øvrige'!H66, År_etter_ferdigstillelse, karbon_opptak_faktor))*'Tillegg- Inndata Øvrige'!G66*'Tillegg- Inndata Øvrige'!L66*0.5))</f>
        <v>0</v>
      </c>
      <c r="W68" s="333">
        <f>IF('Tillegg- Inndata Øvrige'!G66=0,0,IF('Tillegg- Inndata Øvrige'!H66&gt;49,-0.064*'Tillegg- Inndata Øvrige'!G66*'Tillegg- Inndata Øvrige'!N66,-0.037*'Tillegg- Inndata Øvrige'!J66*'Tillegg- Inndata Øvrige'!N66))</f>
        <v>0</v>
      </c>
      <c r="X68" s="331" cm="1">
        <f t="array" ref="X68">IF(SUM(F68:J68,L68)=0, 0, SUM(F68:J68,L68)*(1+'Tillegg-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Y68" s="330" cm="1">
        <f t="array" ref="Y68">IF(X68=0, 0, SUM(K68,M68)*(1+'Tillegg-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Z68" s="336" cm="1">
        <f t="array" ref="Z68">IF(X68=0, 0, SUM(N68:P68)*(1+'Tillegg-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A68" s="336" cm="1">
        <f t="array" ref="AA68">IF(X68=0, 0, ('Tillegg- Inndata Øvrige'!G66+'Tillegg- Inndata Øvrige'!O66+'Tillegg- Inndata Øvrige'!S66)*(1+'Tillegg- Inndata Øvrige'!K66)*Transport_utslipp_til_avfallshånderting_per_kg*IF('Tillegg-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B68" s="334" cm="1">
        <f t="array" ref="AB68">IF(X68=0, 0,1.833*'Tillegg- Inndata Øvrige'!J66*('Tillegg- Inndata Øvrige'!X66*_xlfn.XLOOKUP(IF('Tillegg- Inndata Øvrige'!I66&lt;2,'Tillegg- Inndata Øvrige'!H66,'Tillegg- Inndata Øvrige'!H66*2), År_etter_ferdigstillelse, Faktorer!$Z$7:$Z$58))*('Tillegg- Inndata Øvrige'!L66*0.5+'Tillegg- Inndata Øvrige'!M66*0.8)*_xlfn.XLOOKUP(IF('Tillegg- Inndata Øvrige'!I66&lt;2,'Tillegg- Inndata Øvrige'!H66,'Tillegg- Inndata Øvrige'!H66*2), År_etter_ferdigstillelse,  IF(LEFT('Tillegg- Inndata Øvrige'!B66, 2)= 49, f_tid_x_f_tek_d_0_037, f_tid_x_f_tek_d_0_01)))</f>
        <v>0</v>
      </c>
      <c r="AC68" s="335">
        <f>IF(('Tillegg- Inndata Øvrige'!G66) = 0, 0,('Tillegg- Inndata Øvrige'!G66*((AG68+AI68)*Transport_utslipp_til_avfallshånderting_per_kg)+('Tillegg- Inndata Øvrige'!Z66*'ZERO-B Beregning'!D168)*IF('ZERO-B Beregning'!F169=0,'ZERO-B Beregning'!D169,'ZERO-B Beregning'!F169))*_xlfn.XLOOKUP(51, År_etter_ferdigstillelse, f_tid_x_f_tek_d_0_01))</f>
        <v>0</v>
      </c>
      <c r="AD68" s="337">
        <f>IF(('Tillegg- Inndata Øvrige'!G66) = 0, 0,1.833*('Tillegg- Inndata Øvrige'!G66*('Tillegg- Inndata Øvrige'!L66*0.5+'Tillegg- Inndata Øvrige'!M66*0.8)*AG68*_xlfn.XLOOKUP(51, År_etter_ferdigstillelse,  f_tid_x_f_tek_d_0_01)))</f>
        <v>0</v>
      </c>
      <c r="AE68" s="333" cm="1">
        <f t="array" ref="AE68">IF(('Tillegg- Inndata Øvrige'!G66) = 0, 0,-0.8*('Tillegg- Inndata Øvrige'!G66)*AH68*('Tillegg- Inndata Øvrige'!E66/'Tillegg- Inndata Øvrige'!G66)*_xlfn.XLOOKUP(51, År_etter_ferdigstillelse,  IF(LEFT('Tillegg- Inndata Øvrige'!B66, 2)= 49, f_tid_x_f_tek_d_0_037, f_tid_x_f_tek_d_0_01)))</f>
        <v>0</v>
      </c>
      <c r="AF68" s="338" cm="1">
        <f t="array" ref="AF68">IF(('Tillegg- Inndata Øvrige'!G66) = 0, 0,-0.1*('Tillegg- Inndata Øvrige'!G66)*AI68*('Tillegg- Inndata Øvrige'!E66/'Tillegg- Inndata Øvrige'!G66)*_xlfn.XLOOKUP(51, År_etter_ferdigstillelse,  IF(LEFT('Tillegg- Inndata Øvrige'!B66, 2)= 49, f_tid_x_f_tek_d_0_037, f_tid_x_f_tek_d_0_01)))</f>
        <v>0</v>
      </c>
      <c r="AG68" s="572">
        <f>IF(('Tillegg- Inndata Øvrige'!G66) = 0, 0,'Tillegg- Inndata Øvrige'!X66*Faktorer!$Z$58)</f>
        <v>0</v>
      </c>
      <c r="AH68" s="573">
        <f>IF(('Tillegg- Inndata Øvrige'!G66) = 0, 0,'Tillegg- Inndata Øvrige'!Z66+('Tillegg- Inndata Øvrige'!X66+'Tillegg- Inndata Øvrige'!Y66)*(1-Faktorer!$Z$58)*0.5)</f>
        <v>0</v>
      </c>
      <c r="AI68" s="574">
        <f>IF(('Tillegg- Inndata Øvrige'!G66) = 0, 0,'Tillegg- Inndata Øvrige'!AA66+('Tillegg- Inndata Øvrige'!X66+'Tillegg- Inndata Øvrige'!Y66)*(1-Faktorer!$Z$58)*0.5)</f>
        <v>0</v>
      </c>
      <c r="AK68" s="90">
        <f t="shared" si="1"/>
        <v>0</v>
      </c>
      <c r="AL68" s="91">
        <f>'Tillegg- Res. Det. Øvrige'!N68</f>
        <v>0</v>
      </c>
      <c r="AM68" s="91" t="str">
        <f>IF(F68=0,"",('Tillegg- Inndata Øvrige'!E68+'Tillegg- Inndata Øvrige'!F68)*ROUNDDOWN('Tillegg- Inndata Øvrige'!I68,0)*(1+'Tillegg- Inndata Øvrige'!K68))</f>
        <v/>
      </c>
      <c r="AO68" s="1"/>
    </row>
    <row r="69" spans="2:41">
      <c r="B69" s="327">
        <f>'Tillegg- Inndata Øvrige'!B67</f>
        <v>0</v>
      </c>
      <c r="C69" s="327">
        <f>'Tillegg- Inndata Øvrige'!C67</f>
        <v>0</v>
      </c>
      <c r="D69" s="327">
        <f>'Tillegg- Inndata Øvrige'!D67</f>
        <v>0</v>
      </c>
      <c r="E69" s="421" cm="1">
        <f t="array" ref="E69">SUM(IFERROR(F69:AF69,0))</f>
        <v>0</v>
      </c>
      <c r="F69" s="330">
        <f>'Tillegg- Inndata Øvrige'!E67</f>
        <v>0</v>
      </c>
      <c r="G69" s="330">
        <f>IF('Tillegg- Inndata Øvrige'!AB67="Ja", -0.8*$F69, 0)</f>
        <v>0</v>
      </c>
      <c r="H69" s="330">
        <f>IF('Tillegg- Inndata Øvrige'!AC67="Ja", -0.4*$F69, 0)</f>
        <v>0</v>
      </c>
      <c r="I69" s="330">
        <f>IF('Tillegg- Inndata Øvrige'!AD67="Ja", -1*$F69, 0)</f>
        <v>0</v>
      </c>
      <c r="J69" s="330">
        <f>'Tillegg- Inndata Øvrige'!O67*'Tillegg- Inndata Øvrige'!P67</f>
        <v>0</v>
      </c>
      <c r="K69" s="330">
        <f>MAX(-0.75*(SUM('Tillegg- Res. Det. Øvrige'!F69:J69)),-'Tillegg- Inndata Øvrige'!O67*'Tillegg- Inndata Øvrige'!Q67)</f>
        <v>0</v>
      </c>
      <c r="L69" s="330">
        <f>'Tillegg- Inndata Øvrige'!S67*'Tillegg- Inndata Øvrige'!T67</f>
        <v>0</v>
      </c>
      <c r="M69" s="330">
        <f>MAX(-0.75*(SUM('Tillegg- Res. Det. Øvrige'!F69:I69,L69)),-'Tillegg- Inndata Øvrige'!S67*'Tillegg- Inndata Øvrige'!U67)</f>
        <v>0</v>
      </c>
      <c r="N69" s="331">
        <f>'Tillegg- Inndata Øvrige'!F67</f>
        <v>0</v>
      </c>
      <c r="O69" s="330">
        <f>'Tillegg- Inndata Øvrige'!O67*'Tillegg- Inndata Øvrige'!R67</f>
        <v>0</v>
      </c>
      <c r="P69" s="332">
        <f>'Tillegg- Inndata Øvrige'!S67*'Tillegg- Inndata Øvrige'!V67</f>
        <v>0</v>
      </c>
      <c r="Q69" s="333">
        <f>SUM(F69:J69,L69)*'Tillegg- Inndata Øvrige'!K67</f>
        <v>0</v>
      </c>
      <c r="R69" s="333">
        <f>(K69+M69)*'Tillegg- Inndata Øvrige'!K67</f>
        <v>0</v>
      </c>
      <c r="S69" s="333">
        <f>SUM(N69:P69)*'Tillegg- Inndata Øvrige'!K67</f>
        <v>0</v>
      </c>
      <c r="T69" s="334">
        <f>('Tillegg- Inndata Øvrige'!G67+'Tillegg- Inndata Øvrige'!O67+'Tillegg- Inndata Øvrige'!S67)*'Tillegg- Inndata Øvrige'!K67*Transport_utslipp_til_avfallshånderting_per_kg</f>
        <v>0</v>
      </c>
      <c r="U69" s="330">
        <f>IF('Tillegg- Inndata Øvrige'!E67 = 0, 0, 1.833*'Tillegg- Inndata Øvrige'!X67*'Tillegg- Inndata Øvrige'!K67*('Tillegg- Inndata Øvrige'!G67*('Tillegg- Inndata Øvrige'!L67*0.5+'Tillegg- Inndata Øvrige'!M67*0.8) + (12/44)*('Tillegg- Inndata Øvrige'!O67*'Tillegg- Inndata Øvrige'!Q67+'Tillegg- Inndata Øvrige'!S67*'Tillegg- Inndata Øvrige'!U67)))</f>
        <v>0</v>
      </c>
      <c r="V69" s="335">
        <f>IF('Tillegg- Inndata Øvrige'!G67 = 0, 0,  MAX(-SUM(F69:J69,L69)*'Tillegg- Inndata Øvrige'!L67, -0.114*IF('Tillegg- Inndata Øvrige'!H67 &gt; 49, _xlfn.XLOOKUP(49, År_etter_ferdigstillelse, karbon_opptak_faktor), _xlfn.XLOOKUP('Tillegg- Inndata Øvrige'!H67, År_etter_ferdigstillelse, karbon_opptak_faktor))*'Tillegg- Inndata Øvrige'!G67*'Tillegg- Inndata Øvrige'!L67*0.5))</f>
        <v>0</v>
      </c>
      <c r="W69" s="333">
        <f>IF('Tillegg- Inndata Øvrige'!G67=0,0,IF('Tillegg- Inndata Øvrige'!H67&gt;49,-0.064*'Tillegg- Inndata Øvrige'!G67*'Tillegg- Inndata Øvrige'!N67,-0.037*'Tillegg- Inndata Øvrige'!J67*'Tillegg- Inndata Øvrige'!N67))</f>
        <v>0</v>
      </c>
      <c r="X69" s="331" cm="1">
        <f t="array" ref="X69">IF(SUM(F69:J69,L69)=0, 0, SUM(F69:J69,L69)*(1+'Tillegg-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Y69" s="330" cm="1">
        <f t="array" ref="Y69">IF(X69=0, 0, SUM(K69,M69)*(1+'Tillegg-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Z69" s="336" cm="1">
        <f t="array" ref="Z69">IF(X69=0, 0, SUM(N69:P69)*(1+'Tillegg-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A69" s="336" cm="1">
        <f t="array" ref="AA69">IF(X69=0, 0, ('Tillegg- Inndata Øvrige'!G67+'Tillegg- Inndata Øvrige'!O67+'Tillegg- Inndata Øvrige'!S67)*(1+'Tillegg- Inndata Øvrige'!K67)*Transport_utslipp_til_avfallshånderting_per_kg*IF('Tillegg-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B69" s="334" cm="1">
        <f t="array" ref="AB69">IF(X69=0, 0,1.833*'Tillegg- Inndata Øvrige'!J67*('Tillegg- Inndata Øvrige'!X67*_xlfn.XLOOKUP(IF('Tillegg- Inndata Øvrige'!I67&lt;2,'Tillegg- Inndata Øvrige'!H67,'Tillegg- Inndata Øvrige'!H67*2), År_etter_ferdigstillelse, Faktorer!$Z$7:$Z$58))*('Tillegg- Inndata Øvrige'!L67*0.5+'Tillegg- Inndata Øvrige'!M67*0.8)*_xlfn.XLOOKUP(IF('Tillegg- Inndata Øvrige'!I67&lt;2,'Tillegg- Inndata Øvrige'!H67,'Tillegg- Inndata Øvrige'!H67*2), År_etter_ferdigstillelse,  IF(LEFT('Tillegg- Inndata Øvrige'!B67, 2)= 49, f_tid_x_f_tek_d_0_037, f_tid_x_f_tek_d_0_01)))</f>
        <v>0</v>
      </c>
      <c r="AC69" s="335">
        <f>IF(('Tillegg- Inndata Øvrige'!G67) = 0, 0,('Tillegg- Inndata Øvrige'!G67*((AG69+AI69)*Transport_utslipp_til_avfallshånderting_per_kg)+('Tillegg- Inndata Øvrige'!Z67*'ZERO-B Beregning'!D169)*IF('ZERO-B Beregning'!F170=0,'ZERO-B Beregning'!D170,'ZERO-B Beregning'!F170))*_xlfn.XLOOKUP(51, År_etter_ferdigstillelse, f_tid_x_f_tek_d_0_01))</f>
        <v>0</v>
      </c>
      <c r="AD69" s="337">
        <f>IF(('Tillegg- Inndata Øvrige'!G67) = 0, 0,1.833*('Tillegg- Inndata Øvrige'!G67*('Tillegg- Inndata Øvrige'!L67*0.5+'Tillegg- Inndata Øvrige'!M67*0.8)*AG69*_xlfn.XLOOKUP(51, År_etter_ferdigstillelse,  f_tid_x_f_tek_d_0_01)))</f>
        <v>0</v>
      </c>
      <c r="AE69" s="333" cm="1">
        <f t="array" ref="AE69">IF(('Tillegg- Inndata Øvrige'!G67) = 0, 0,-0.8*('Tillegg- Inndata Øvrige'!G67)*AH69*('Tillegg- Inndata Øvrige'!E67/'Tillegg- Inndata Øvrige'!G67)*_xlfn.XLOOKUP(51, År_etter_ferdigstillelse,  IF(LEFT('Tillegg- Inndata Øvrige'!B67, 2)= 49, f_tid_x_f_tek_d_0_037, f_tid_x_f_tek_d_0_01)))</f>
        <v>0</v>
      </c>
      <c r="AF69" s="338" cm="1">
        <f t="array" ref="AF69">IF(('Tillegg- Inndata Øvrige'!G67) = 0, 0,-0.1*('Tillegg- Inndata Øvrige'!G67)*AI69*('Tillegg- Inndata Øvrige'!E67/'Tillegg- Inndata Øvrige'!G67)*_xlfn.XLOOKUP(51, År_etter_ferdigstillelse,  IF(LEFT('Tillegg- Inndata Øvrige'!B67, 2)= 49, f_tid_x_f_tek_d_0_037, f_tid_x_f_tek_d_0_01)))</f>
        <v>0</v>
      </c>
      <c r="AG69" s="572">
        <f>IF(('Tillegg- Inndata Øvrige'!G67) = 0, 0,'Tillegg- Inndata Øvrige'!X67*Faktorer!$Z$58)</f>
        <v>0</v>
      </c>
      <c r="AH69" s="573">
        <f>IF(('Tillegg- Inndata Øvrige'!G67) = 0, 0,'Tillegg- Inndata Øvrige'!Z67+('Tillegg- Inndata Øvrige'!X67+'Tillegg- Inndata Øvrige'!Y67)*(1-Faktorer!$Z$58)*0.5)</f>
        <v>0</v>
      </c>
      <c r="AI69" s="574">
        <f>IF(('Tillegg- Inndata Øvrige'!G67) = 0, 0,'Tillegg- Inndata Øvrige'!AA67+('Tillegg- Inndata Øvrige'!X67+'Tillegg- Inndata Øvrige'!Y67)*(1-Faktorer!$Z$58)*0.5)</f>
        <v>0</v>
      </c>
      <c r="AK69" s="90">
        <f t="shared" si="1"/>
        <v>0</v>
      </c>
      <c r="AL69" s="91">
        <f>'Tillegg- Res. Det. Øvrige'!N69</f>
        <v>0</v>
      </c>
      <c r="AM69" s="91" t="str">
        <f>IF(F69=0,"",('Tillegg- Inndata Øvrige'!E69+'Tillegg- Inndata Øvrige'!F69)*ROUNDDOWN('Tillegg- Inndata Øvrige'!I69,0)*(1+'Tillegg- Inndata Øvrige'!K69))</f>
        <v/>
      </c>
      <c r="AO69" s="1"/>
    </row>
    <row r="70" spans="2:41">
      <c r="B70" s="327">
        <f>'Tillegg- Inndata Øvrige'!B68</f>
        <v>0</v>
      </c>
      <c r="C70" s="327">
        <f>'Tillegg- Inndata Øvrige'!C68</f>
        <v>0</v>
      </c>
      <c r="D70" s="327">
        <f>'Tillegg- Inndata Øvrige'!D68</f>
        <v>0</v>
      </c>
      <c r="E70" s="421" cm="1">
        <f t="array" ref="E70">SUM(IFERROR(F70:AF70,0))</f>
        <v>0</v>
      </c>
      <c r="F70" s="330">
        <f>'Tillegg- Inndata Øvrige'!E68</f>
        <v>0</v>
      </c>
      <c r="G70" s="330">
        <f>IF('Tillegg- Inndata Øvrige'!AB68="Ja", -0.8*$F70, 0)</f>
        <v>0</v>
      </c>
      <c r="H70" s="330">
        <f>IF('Tillegg- Inndata Øvrige'!AC68="Ja", -0.4*$F70, 0)</f>
        <v>0</v>
      </c>
      <c r="I70" s="330">
        <f>IF('Tillegg- Inndata Øvrige'!AD68="Ja", -1*$F70, 0)</f>
        <v>0</v>
      </c>
      <c r="J70" s="330">
        <f>'Tillegg- Inndata Øvrige'!O68*'Tillegg- Inndata Øvrige'!P68</f>
        <v>0</v>
      </c>
      <c r="K70" s="330">
        <f>MAX(-0.75*(SUM('Tillegg- Res. Det. Øvrige'!F70:J70)),-'Tillegg- Inndata Øvrige'!O68*'Tillegg- Inndata Øvrige'!Q68)</f>
        <v>0</v>
      </c>
      <c r="L70" s="330">
        <f>'Tillegg- Inndata Øvrige'!S68*'Tillegg- Inndata Øvrige'!T68</f>
        <v>0</v>
      </c>
      <c r="M70" s="330">
        <f>MAX(-0.75*(SUM('Tillegg- Res. Det. Øvrige'!F70:I70,L70)),-'Tillegg- Inndata Øvrige'!S68*'Tillegg- Inndata Øvrige'!U68)</f>
        <v>0</v>
      </c>
      <c r="N70" s="331">
        <f>'Tillegg- Inndata Øvrige'!F68</f>
        <v>0</v>
      </c>
      <c r="O70" s="330">
        <f>'Tillegg- Inndata Øvrige'!O68*'Tillegg- Inndata Øvrige'!R68</f>
        <v>0</v>
      </c>
      <c r="P70" s="332">
        <f>'Tillegg- Inndata Øvrige'!S68*'Tillegg- Inndata Øvrige'!V68</f>
        <v>0</v>
      </c>
      <c r="Q70" s="333">
        <f>SUM(F70:J70,L70)*'Tillegg- Inndata Øvrige'!K68</f>
        <v>0</v>
      </c>
      <c r="R70" s="333">
        <f>(K70+M70)*'Tillegg- Inndata Øvrige'!K68</f>
        <v>0</v>
      </c>
      <c r="S70" s="333">
        <f>SUM(N70:P70)*'Tillegg- Inndata Øvrige'!K68</f>
        <v>0</v>
      </c>
      <c r="T70" s="334">
        <f>('Tillegg- Inndata Øvrige'!G68+'Tillegg- Inndata Øvrige'!O68+'Tillegg- Inndata Øvrige'!S68)*'Tillegg- Inndata Øvrige'!K68*Transport_utslipp_til_avfallshånderting_per_kg</f>
        <v>0</v>
      </c>
      <c r="U70" s="330">
        <f>IF('Tillegg- Inndata Øvrige'!E68 = 0, 0, 1.833*'Tillegg- Inndata Øvrige'!X68*'Tillegg- Inndata Øvrige'!K68*('Tillegg- Inndata Øvrige'!G68*('Tillegg- Inndata Øvrige'!L68*0.5+'Tillegg- Inndata Øvrige'!M68*0.8) + (12/44)*('Tillegg- Inndata Øvrige'!O68*'Tillegg- Inndata Øvrige'!Q68+'Tillegg- Inndata Øvrige'!S68*'Tillegg- Inndata Øvrige'!U68)))</f>
        <v>0</v>
      </c>
      <c r="V70" s="335">
        <f>IF('Tillegg- Inndata Øvrige'!G68 = 0, 0,  MAX(-SUM(F70:J70,L70)*'Tillegg- Inndata Øvrige'!L68, -0.114*IF('Tillegg- Inndata Øvrige'!H68 &gt; 49, _xlfn.XLOOKUP(49, År_etter_ferdigstillelse, karbon_opptak_faktor), _xlfn.XLOOKUP('Tillegg- Inndata Øvrige'!H68, År_etter_ferdigstillelse, karbon_opptak_faktor))*'Tillegg- Inndata Øvrige'!G68*'Tillegg- Inndata Øvrige'!L68*0.5))</f>
        <v>0</v>
      </c>
      <c r="W70" s="333">
        <f>IF('Tillegg- Inndata Øvrige'!G68=0,0,IF('Tillegg- Inndata Øvrige'!H68&gt;49,-0.064*'Tillegg- Inndata Øvrige'!G68*'Tillegg- Inndata Øvrige'!N68,-0.037*'Tillegg- Inndata Øvrige'!J68*'Tillegg- Inndata Øvrige'!N68))</f>
        <v>0</v>
      </c>
      <c r="X70" s="331" cm="1">
        <f t="array" ref="X70">IF(SUM(F70:J70,L70)=0, 0, SUM(F70:J70,L70)*(1+'Tillegg-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Y70" s="330" cm="1">
        <f t="array" ref="Y70">IF(X70=0, 0, SUM(K70,M70)*(1+'Tillegg-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Z70" s="336" cm="1">
        <f t="array" ref="Z70">IF(X70=0, 0, SUM(N70:P70)*(1+'Tillegg-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A70" s="336" cm="1">
        <f t="array" ref="AA70">IF(X70=0, 0, ('Tillegg- Inndata Øvrige'!G68+'Tillegg- Inndata Øvrige'!O68+'Tillegg- Inndata Øvrige'!S68)*(1+'Tillegg- Inndata Øvrige'!K68)*Transport_utslipp_til_avfallshånderting_per_kg*IF('Tillegg-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B70" s="334" cm="1">
        <f t="array" ref="AB70">IF(X70=0, 0,1.833*'Tillegg- Inndata Øvrige'!J68*('Tillegg- Inndata Øvrige'!X68*_xlfn.XLOOKUP(IF('Tillegg- Inndata Øvrige'!I68&lt;2,'Tillegg- Inndata Øvrige'!H68,'Tillegg- Inndata Øvrige'!H68*2), År_etter_ferdigstillelse, Faktorer!$Z$7:$Z$58))*('Tillegg- Inndata Øvrige'!L68*0.5+'Tillegg- Inndata Øvrige'!M68*0.8)*_xlfn.XLOOKUP(IF('Tillegg- Inndata Øvrige'!I68&lt;2,'Tillegg- Inndata Øvrige'!H68,'Tillegg- Inndata Øvrige'!H68*2), År_etter_ferdigstillelse,  IF(LEFT('Tillegg- Inndata Øvrige'!B68, 2)= 49, f_tid_x_f_tek_d_0_037, f_tid_x_f_tek_d_0_01)))</f>
        <v>0</v>
      </c>
      <c r="AC70" s="335">
        <f>IF(('Tillegg- Inndata Øvrige'!G68) = 0, 0,('Tillegg- Inndata Øvrige'!G68*((AG70+AI70)*Transport_utslipp_til_avfallshånderting_per_kg)+('Tillegg- Inndata Øvrige'!Z68*'ZERO-B Beregning'!D170)*IF('ZERO-B Beregning'!F171=0,'ZERO-B Beregning'!D171,'ZERO-B Beregning'!F171))*_xlfn.XLOOKUP(51, År_etter_ferdigstillelse, f_tid_x_f_tek_d_0_01))</f>
        <v>0</v>
      </c>
      <c r="AD70" s="337">
        <f>IF(('Tillegg- Inndata Øvrige'!G68) = 0, 0,1.833*('Tillegg- Inndata Øvrige'!G68*('Tillegg- Inndata Øvrige'!L68*0.5+'Tillegg- Inndata Øvrige'!M68*0.8)*AG70*_xlfn.XLOOKUP(51, År_etter_ferdigstillelse,  f_tid_x_f_tek_d_0_01)))</f>
        <v>0</v>
      </c>
      <c r="AE70" s="333" cm="1">
        <f t="array" ref="AE70">IF(('Tillegg- Inndata Øvrige'!G68) = 0, 0,-0.8*('Tillegg- Inndata Øvrige'!G68)*AH70*('Tillegg- Inndata Øvrige'!E68/'Tillegg- Inndata Øvrige'!G68)*_xlfn.XLOOKUP(51, År_etter_ferdigstillelse,  IF(LEFT('Tillegg- Inndata Øvrige'!B68, 2)= 49, f_tid_x_f_tek_d_0_037, f_tid_x_f_tek_d_0_01)))</f>
        <v>0</v>
      </c>
      <c r="AF70" s="338" cm="1">
        <f t="array" ref="AF70">IF(('Tillegg- Inndata Øvrige'!G68) = 0, 0,-0.1*('Tillegg- Inndata Øvrige'!G68)*AI70*('Tillegg- Inndata Øvrige'!E68/'Tillegg- Inndata Øvrige'!G68)*_xlfn.XLOOKUP(51, År_etter_ferdigstillelse,  IF(LEFT('Tillegg- Inndata Øvrige'!B68, 2)= 49, f_tid_x_f_tek_d_0_037, f_tid_x_f_tek_d_0_01)))</f>
        <v>0</v>
      </c>
      <c r="AG70" s="572">
        <f>IF(('Tillegg- Inndata Øvrige'!G68) = 0, 0,'Tillegg- Inndata Øvrige'!X68*Faktorer!$Z$58)</f>
        <v>0</v>
      </c>
      <c r="AH70" s="573">
        <f>IF(('Tillegg- Inndata Øvrige'!G68) = 0, 0,'Tillegg- Inndata Øvrige'!Z68+('Tillegg- Inndata Øvrige'!X68+'Tillegg- Inndata Øvrige'!Y68)*(1-Faktorer!$Z$58)*0.5)</f>
        <v>0</v>
      </c>
      <c r="AI70" s="574">
        <f>IF(('Tillegg- Inndata Øvrige'!G68) = 0, 0,'Tillegg- Inndata Øvrige'!AA68+('Tillegg- Inndata Øvrige'!X68+'Tillegg- Inndata Øvrige'!Y68)*(1-Faktorer!$Z$58)*0.5)</f>
        <v>0</v>
      </c>
      <c r="AK70" s="90">
        <f t="shared" si="1"/>
        <v>0</v>
      </c>
      <c r="AL70" s="91">
        <f>'Tillegg- Res. Det. Øvrige'!N70</f>
        <v>0</v>
      </c>
      <c r="AM70" s="91" t="str">
        <f>IF(F70=0,"",('Tillegg- Inndata Øvrige'!E70+'Tillegg- Inndata Øvrige'!F70)*ROUNDDOWN('Tillegg- Inndata Øvrige'!I70,0)*(1+'Tillegg- Inndata Øvrige'!K70))</f>
        <v/>
      </c>
      <c r="AO70" s="1"/>
    </row>
    <row r="71" spans="2:41">
      <c r="B71" s="327">
        <f>'Tillegg- Inndata Øvrige'!B69</f>
        <v>0</v>
      </c>
      <c r="C71" s="327">
        <f>'Tillegg- Inndata Øvrige'!C69</f>
        <v>0</v>
      </c>
      <c r="D71" s="327">
        <f>'Tillegg- Inndata Øvrige'!D69</f>
        <v>0</v>
      </c>
      <c r="E71" s="421" cm="1">
        <f t="array" ref="E71">SUM(IFERROR(F71:AF71,0))</f>
        <v>0</v>
      </c>
      <c r="F71" s="330">
        <f>'Tillegg- Inndata Øvrige'!E69</f>
        <v>0</v>
      </c>
      <c r="G71" s="330">
        <f>IF('Tillegg- Inndata Øvrige'!AB69="Ja", -0.8*$F71, 0)</f>
        <v>0</v>
      </c>
      <c r="H71" s="330">
        <f>IF('Tillegg- Inndata Øvrige'!AC69="Ja", -0.4*$F71, 0)</f>
        <v>0</v>
      </c>
      <c r="I71" s="330">
        <f>IF('Tillegg- Inndata Øvrige'!AD69="Ja", -1*$F71, 0)</f>
        <v>0</v>
      </c>
      <c r="J71" s="330">
        <f>'Tillegg- Inndata Øvrige'!O69*'Tillegg- Inndata Øvrige'!P69</f>
        <v>0</v>
      </c>
      <c r="K71" s="330">
        <f>MAX(-0.75*(SUM('Tillegg- Res. Det. Øvrige'!F71:J71)),-'Tillegg- Inndata Øvrige'!O69*'Tillegg- Inndata Øvrige'!Q69)</f>
        <v>0</v>
      </c>
      <c r="L71" s="330">
        <f>'Tillegg- Inndata Øvrige'!S69*'Tillegg- Inndata Øvrige'!T69</f>
        <v>0</v>
      </c>
      <c r="M71" s="330">
        <f>MAX(-0.75*(SUM('Tillegg- Res. Det. Øvrige'!F71:I71,L71)),-'Tillegg- Inndata Øvrige'!S69*'Tillegg- Inndata Øvrige'!U69)</f>
        <v>0</v>
      </c>
      <c r="N71" s="331">
        <f>'Tillegg- Inndata Øvrige'!F69</f>
        <v>0</v>
      </c>
      <c r="O71" s="330">
        <f>'Tillegg- Inndata Øvrige'!O69*'Tillegg- Inndata Øvrige'!R69</f>
        <v>0</v>
      </c>
      <c r="P71" s="332">
        <f>'Tillegg- Inndata Øvrige'!S69*'Tillegg- Inndata Øvrige'!V69</f>
        <v>0</v>
      </c>
      <c r="Q71" s="333">
        <f>SUM(F71:J71,L71)*'Tillegg- Inndata Øvrige'!K69</f>
        <v>0</v>
      </c>
      <c r="R71" s="333">
        <f>(K71+M71)*'Tillegg- Inndata Øvrige'!K69</f>
        <v>0</v>
      </c>
      <c r="S71" s="333">
        <f>SUM(N71:P71)*'Tillegg- Inndata Øvrige'!K69</f>
        <v>0</v>
      </c>
      <c r="T71" s="334">
        <f>('Tillegg- Inndata Øvrige'!G69+'Tillegg- Inndata Øvrige'!O69+'Tillegg- Inndata Øvrige'!S69)*'Tillegg- Inndata Øvrige'!K69*Transport_utslipp_til_avfallshånderting_per_kg</f>
        <v>0</v>
      </c>
      <c r="U71" s="330">
        <f>IF('Tillegg- Inndata Øvrige'!E69 = 0, 0, 1.833*'Tillegg- Inndata Øvrige'!X69*'Tillegg- Inndata Øvrige'!K69*('Tillegg- Inndata Øvrige'!G69*('Tillegg- Inndata Øvrige'!L69*0.5+'Tillegg- Inndata Øvrige'!M69*0.8) + (12/44)*('Tillegg- Inndata Øvrige'!O69*'Tillegg- Inndata Øvrige'!Q69+'Tillegg- Inndata Øvrige'!S69*'Tillegg- Inndata Øvrige'!U69)))</f>
        <v>0</v>
      </c>
      <c r="V71" s="335">
        <f>IF('Tillegg- Inndata Øvrige'!G69 = 0, 0,  MAX(-SUM(F71:J71,L71)*'Tillegg- Inndata Øvrige'!L69, -0.114*IF('Tillegg- Inndata Øvrige'!H69 &gt; 49, _xlfn.XLOOKUP(49, År_etter_ferdigstillelse, karbon_opptak_faktor), _xlfn.XLOOKUP('Tillegg- Inndata Øvrige'!H69, År_etter_ferdigstillelse, karbon_opptak_faktor))*'Tillegg- Inndata Øvrige'!G69*'Tillegg- Inndata Øvrige'!L69*0.5))</f>
        <v>0</v>
      </c>
      <c r="W71" s="333">
        <f>IF('Tillegg- Inndata Øvrige'!G69=0,0,IF('Tillegg- Inndata Øvrige'!H69&gt;49,-0.064*'Tillegg- Inndata Øvrige'!G69*'Tillegg- Inndata Øvrige'!N69,-0.037*'Tillegg- Inndata Øvrige'!J69*'Tillegg- Inndata Øvrige'!N69))</f>
        <v>0</v>
      </c>
      <c r="X71" s="331" cm="1">
        <f t="array" ref="X71">IF(SUM(F71:J71,L71)=0, 0, SUM(F71:J71,L71)*(1+'Tillegg-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Y71" s="330" cm="1">
        <f t="array" ref="Y71">IF(X71=0, 0, SUM(K71,M71)*(1+'Tillegg-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Z71" s="336" cm="1">
        <f t="array" ref="Z71">IF(X71=0, 0, SUM(N71:P71)*(1+'Tillegg-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A71" s="336" cm="1">
        <f t="array" ref="AA71">IF(X71=0, 0, ('Tillegg- Inndata Øvrige'!G69+'Tillegg- Inndata Øvrige'!O69+'Tillegg- Inndata Øvrige'!S69)*(1+'Tillegg- Inndata Øvrige'!K69)*Transport_utslipp_til_avfallshånderting_per_kg*IF('Tillegg-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B71" s="334" cm="1">
        <f t="array" ref="AB71">IF(X71=0, 0,1.833*'Tillegg- Inndata Øvrige'!J69*('Tillegg- Inndata Øvrige'!X69*_xlfn.XLOOKUP(IF('Tillegg- Inndata Øvrige'!I69&lt;2,'Tillegg- Inndata Øvrige'!H69,'Tillegg- Inndata Øvrige'!H69*2), År_etter_ferdigstillelse, Faktorer!$Z$7:$Z$58))*('Tillegg- Inndata Øvrige'!L69*0.5+'Tillegg- Inndata Øvrige'!M69*0.8)*_xlfn.XLOOKUP(IF('Tillegg- Inndata Øvrige'!I69&lt;2,'Tillegg- Inndata Øvrige'!H69,'Tillegg- Inndata Øvrige'!H69*2), År_etter_ferdigstillelse,  IF(LEFT('Tillegg- Inndata Øvrige'!B69, 2)= 49, f_tid_x_f_tek_d_0_037, f_tid_x_f_tek_d_0_01)))</f>
        <v>0</v>
      </c>
      <c r="AC71" s="335">
        <f>IF(('Tillegg- Inndata Øvrige'!G69) = 0, 0,('Tillegg- Inndata Øvrige'!G69*((AG71+AI71)*Transport_utslipp_til_avfallshånderting_per_kg)+('Tillegg- Inndata Øvrige'!Z69*'ZERO-B Beregning'!D171)*IF('ZERO-B Beregning'!F172=0,'ZERO-B Beregning'!D172,'ZERO-B Beregning'!F172))*_xlfn.XLOOKUP(51, År_etter_ferdigstillelse, f_tid_x_f_tek_d_0_01))</f>
        <v>0</v>
      </c>
      <c r="AD71" s="337">
        <f>IF(('Tillegg- Inndata Øvrige'!G69) = 0, 0,1.833*('Tillegg- Inndata Øvrige'!G69*('Tillegg- Inndata Øvrige'!L69*0.5+'Tillegg- Inndata Øvrige'!M69*0.8)*AG71*_xlfn.XLOOKUP(51, År_etter_ferdigstillelse,  f_tid_x_f_tek_d_0_01)))</f>
        <v>0</v>
      </c>
      <c r="AE71" s="333" cm="1">
        <f t="array" ref="AE71">IF(('Tillegg- Inndata Øvrige'!G69) = 0, 0,-0.8*('Tillegg- Inndata Øvrige'!G69)*AH71*('Tillegg- Inndata Øvrige'!E69/'Tillegg- Inndata Øvrige'!G69)*_xlfn.XLOOKUP(51, År_etter_ferdigstillelse,  IF(LEFT('Tillegg- Inndata Øvrige'!B69, 2)= 49, f_tid_x_f_tek_d_0_037, f_tid_x_f_tek_d_0_01)))</f>
        <v>0</v>
      </c>
      <c r="AF71" s="338" cm="1">
        <f t="array" ref="AF71">IF(('Tillegg- Inndata Øvrige'!G69) = 0, 0,-0.1*('Tillegg- Inndata Øvrige'!G69)*AI71*('Tillegg- Inndata Øvrige'!E69/'Tillegg- Inndata Øvrige'!G69)*_xlfn.XLOOKUP(51, År_etter_ferdigstillelse,  IF(LEFT('Tillegg- Inndata Øvrige'!B69, 2)= 49, f_tid_x_f_tek_d_0_037, f_tid_x_f_tek_d_0_01)))</f>
        <v>0</v>
      </c>
      <c r="AG71" s="572">
        <f>IF(('Tillegg- Inndata Øvrige'!G69) = 0, 0,'Tillegg- Inndata Øvrige'!X69*Faktorer!$Z$58)</f>
        <v>0</v>
      </c>
      <c r="AH71" s="573">
        <f>IF(('Tillegg- Inndata Øvrige'!G69) = 0, 0,'Tillegg- Inndata Øvrige'!Z69+('Tillegg- Inndata Øvrige'!X69+'Tillegg- Inndata Øvrige'!Y69)*(1-Faktorer!$Z$58)*0.5)</f>
        <v>0</v>
      </c>
      <c r="AI71" s="574">
        <f>IF(('Tillegg- Inndata Øvrige'!G69) = 0, 0,'Tillegg- Inndata Øvrige'!AA69+('Tillegg- Inndata Øvrige'!X69+'Tillegg- Inndata Øvrige'!Y69)*(1-Faktorer!$Z$58)*0.5)</f>
        <v>0</v>
      </c>
      <c r="AK71" s="90">
        <f t="shared" si="1"/>
        <v>0</v>
      </c>
      <c r="AL71" s="91">
        <f>'Tillegg- Res. Det. Øvrige'!N71</f>
        <v>0</v>
      </c>
      <c r="AM71" s="91" t="str">
        <f>IF(F71=0,"",('Tillegg- Inndata Øvrige'!E71+'Tillegg- Inndata Øvrige'!F71)*ROUNDDOWN('Tillegg- Inndata Øvrige'!I71,0)*(1+'Tillegg- Inndata Øvrige'!K71))</f>
        <v/>
      </c>
      <c r="AO71" s="1"/>
    </row>
    <row r="72" spans="2:41">
      <c r="B72" s="327">
        <f>'Tillegg- Inndata Øvrige'!B70</f>
        <v>0</v>
      </c>
      <c r="C72" s="327">
        <f>'Tillegg- Inndata Øvrige'!C70</f>
        <v>0</v>
      </c>
      <c r="D72" s="327">
        <f>'Tillegg- Inndata Øvrige'!D70</f>
        <v>0</v>
      </c>
      <c r="E72" s="421" cm="1">
        <f t="array" ref="E72">SUM(IFERROR(F72:AF72,0))</f>
        <v>0</v>
      </c>
      <c r="F72" s="330">
        <f>'Tillegg- Inndata Øvrige'!E70</f>
        <v>0</v>
      </c>
      <c r="G72" s="330">
        <f>IF('Tillegg- Inndata Øvrige'!AB70="Ja", -0.8*$F72, 0)</f>
        <v>0</v>
      </c>
      <c r="H72" s="330">
        <f>IF('Tillegg- Inndata Øvrige'!AC70="Ja", -0.4*$F72, 0)</f>
        <v>0</v>
      </c>
      <c r="I72" s="330">
        <f>IF('Tillegg- Inndata Øvrige'!AD70="Ja", -1*$F72, 0)</f>
        <v>0</v>
      </c>
      <c r="J72" s="330">
        <f>'Tillegg- Inndata Øvrige'!O70*'Tillegg- Inndata Øvrige'!P70</f>
        <v>0</v>
      </c>
      <c r="K72" s="330">
        <f>MAX(-0.75*(SUM('Tillegg- Res. Det. Øvrige'!F72:J72)),-'Tillegg- Inndata Øvrige'!O70*'Tillegg- Inndata Øvrige'!Q70)</f>
        <v>0</v>
      </c>
      <c r="L72" s="330">
        <f>'Tillegg- Inndata Øvrige'!S70*'Tillegg- Inndata Øvrige'!T70</f>
        <v>0</v>
      </c>
      <c r="M72" s="330">
        <f>MAX(-0.75*(SUM('Tillegg- Res. Det. Øvrige'!F72:I72,L72)),-'Tillegg- Inndata Øvrige'!S70*'Tillegg- Inndata Øvrige'!U70)</f>
        <v>0</v>
      </c>
      <c r="N72" s="331">
        <f>'Tillegg- Inndata Øvrige'!F70</f>
        <v>0</v>
      </c>
      <c r="O72" s="330">
        <f>'Tillegg- Inndata Øvrige'!O70*'Tillegg- Inndata Øvrige'!R70</f>
        <v>0</v>
      </c>
      <c r="P72" s="332">
        <f>'Tillegg- Inndata Øvrige'!S70*'Tillegg- Inndata Øvrige'!V70</f>
        <v>0</v>
      </c>
      <c r="Q72" s="333">
        <f>SUM(F72:J72,L72)*'Tillegg- Inndata Øvrige'!K70</f>
        <v>0</v>
      </c>
      <c r="R72" s="333">
        <f>(K72+M72)*'Tillegg- Inndata Øvrige'!K70</f>
        <v>0</v>
      </c>
      <c r="S72" s="333">
        <f>SUM(N72:P72)*'Tillegg- Inndata Øvrige'!K70</f>
        <v>0</v>
      </c>
      <c r="T72" s="334">
        <f>('Tillegg- Inndata Øvrige'!G70+'Tillegg- Inndata Øvrige'!O70+'Tillegg- Inndata Øvrige'!S70)*'Tillegg- Inndata Øvrige'!K70*Transport_utslipp_til_avfallshånderting_per_kg</f>
        <v>0</v>
      </c>
      <c r="U72" s="330">
        <f>IF('Tillegg- Inndata Øvrige'!E70 = 0, 0, 1.833*'Tillegg- Inndata Øvrige'!X70*'Tillegg- Inndata Øvrige'!K70*('Tillegg- Inndata Øvrige'!G70*('Tillegg- Inndata Øvrige'!L70*0.5+'Tillegg- Inndata Øvrige'!M70*0.8) + (12/44)*('Tillegg- Inndata Øvrige'!O70*'Tillegg- Inndata Øvrige'!Q70+'Tillegg- Inndata Øvrige'!S70*'Tillegg- Inndata Øvrige'!U70)))</f>
        <v>0</v>
      </c>
      <c r="V72" s="335">
        <f>IF('Tillegg- Inndata Øvrige'!G70 = 0, 0,  MAX(-SUM(F72:J72,L72)*'Tillegg- Inndata Øvrige'!L70, -0.114*IF('Tillegg- Inndata Øvrige'!H70 &gt; 49, _xlfn.XLOOKUP(49, År_etter_ferdigstillelse, karbon_opptak_faktor), _xlfn.XLOOKUP('Tillegg- Inndata Øvrige'!H70, År_etter_ferdigstillelse, karbon_opptak_faktor))*'Tillegg- Inndata Øvrige'!G70*'Tillegg- Inndata Øvrige'!L70*0.5))</f>
        <v>0</v>
      </c>
      <c r="W72" s="333">
        <f>IF('Tillegg- Inndata Øvrige'!G70=0,0,IF('Tillegg- Inndata Øvrige'!H70&gt;49,-0.064*'Tillegg- Inndata Øvrige'!G70*'Tillegg- Inndata Øvrige'!N70,-0.037*'Tillegg- Inndata Øvrige'!J70*'Tillegg- Inndata Øvrige'!N70))</f>
        <v>0</v>
      </c>
      <c r="X72" s="331" cm="1">
        <f t="array" ref="X72">IF(SUM(F72:J72,L72)=0, 0, SUM(F72:J72,L72)*(1+'Tillegg-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Y72" s="330" cm="1">
        <f t="array" ref="Y72">IF(X72=0, 0, SUM(K72,M72)*(1+'Tillegg-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Z72" s="336" cm="1">
        <f t="array" ref="Z72">IF(X72=0, 0, SUM(N72:P72)*(1+'Tillegg-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A72" s="336" cm="1">
        <f t="array" ref="AA72">IF(X72=0, 0, ('Tillegg- Inndata Øvrige'!G70+'Tillegg- Inndata Øvrige'!O70+'Tillegg- Inndata Øvrige'!S70)*(1+'Tillegg- Inndata Øvrige'!K70)*Transport_utslipp_til_avfallshånderting_per_kg*IF('Tillegg-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B72" s="334" cm="1">
        <f t="array" ref="AB72">IF(X72=0, 0,1.833*'Tillegg- Inndata Øvrige'!J70*('Tillegg- Inndata Øvrige'!X70*_xlfn.XLOOKUP(IF('Tillegg- Inndata Øvrige'!I70&lt;2,'Tillegg- Inndata Øvrige'!H70,'Tillegg- Inndata Øvrige'!H70*2), År_etter_ferdigstillelse, Faktorer!$Z$7:$Z$58))*('Tillegg- Inndata Øvrige'!L70*0.5+'Tillegg- Inndata Øvrige'!M70*0.8)*_xlfn.XLOOKUP(IF('Tillegg- Inndata Øvrige'!I70&lt;2,'Tillegg- Inndata Øvrige'!H70,'Tillegg- Inndata Øvrige'!H70*2), År_etter_ferdigstillelse,  IF(LEFT('Tillegg- Inndata Øvrige'!B70, 2)= 49, f_tid_x_f_tek_d_0_037, f_tid_x_f_tek_d_0_01)))</f>
        <v>0</v>
      </c>
      <c r="AC72" s="335">
        <f>IF(('Tillegg- Inndata Øvrige'!G70) = 0, 0,('Tillegg- Inndata Øvrige'!G70*((AG72+AI72)*Transport_utslipp_til_avfallshånderting_per_kg)+('Tillegg- Inndata Øvrige'!Z70*'ZERO-B Beregning'!D172)*IF('ZERO-B Beregning'!F173=0,'ZERO-B Beregning'!D173,'ZERO-B Beregning'!F173))*_xlfn.XLOOKUP(51, År_etter_ferdigstillelse, f_tid_x_f_tek_d_0_01))</f>
        <v>0</v>
      </c>
      <c r="AD72" s="337">
        <f>IF(('Tillegg- Inndata Øvrige'!G70) = 0, 0,1.833*('Tillegg- Inndata Øvrige'!G70*('Tillegg- Inndata Øvrige'!L70*0.5+'Tillegg- Inndata Øvrige'!M70*0.8)*AG72*_xlfn.XLOOKUP(51, År_etter_ferdigstillelse,  f_tid_x_f_tek_d_0_01)))</f>
        <v>0</v>
      </c>
      <c r="AE72" s="333" cm="1">
        <f t="array" ref="AE72">IF(('Tillegg- Inndata Øvrige'!G70) = 0, 0,-0.8*('Tillegg- Inndata Øvrige'!G70)*AH72*('Tillegg- Inndata Øvrige'!E70/'Tillegg- Inndata Øvrige'!G70)*_xlfn.XLOOKUP(51, År_etter_ferdigstillelse,  IF(LEFT('Tillegg- Inndata Øvrige'!B70, 2)= 49, f_tid_x_f_tek_d_0_037, f_tid_x_f_tek_d_0_01)))</f>
        <v>0</v>
      </c>
      <c r="AF72" s="338" cm="1">
        <f t="array" ref="AF72">IF(('Tillegg- Inndata Øvrige'!G70) = 0, 0,-0.1*('Tillegg- Inndata Øvrige'!G70)*AI72*('Tillegg- Inndata Øvrige'!E70/'Tillegg- Inndata Øvrige'!G70)*_xlfn.XLOOKUP(51, År_etter_ferdigstillelse,  IF(LEFT('Tillegg- Inndata Øvrige'!B70, 2)= 49, f_tid_x_f_tek_d_0_037, f_tid_x_f_tek_d_0_01)))</f>
        <v>0</v>
      </c>
      <c r="AG72" s="572">
        <f>IF(('Tillegg- Inndata Øvrige'!G70) = 0, 0,'Tillegg- Inndata Øvrige'!X70*Faktorer!$Z$58)</f>
        <v>0</v>
      </c>
      <c r="AH72" s="573">
        <f>IF(('Tillegg- Inndata Øvrige'!G70) = 0, 0,'Tillegg- Inndata Øvrige'!Z70+('Tillegg- Inndata Øvrige'!X70+'Tillegg- Inndata Øvrige'!Y70)*(1-Faktorer!$Z$58)*0.5)</f>
        <v>0</v>
      </c>
      <c r="AI72" s="574">
        <f>IF(('Tillegg- Inndata Øvrige'!G70) = 0, 0,'Tillegg- Inndata Øvrige'!AA70+('Tillegg- Inndata Øvrige'!X70+'Tillegg- Inndata Øvrige'!Y70)*(1-Faktorer!$Z$58)*0.5)</f>
        <v>0</v>
      </c>
      <c r="AK72" s="90">
        <f t="shared" si="1"/>
        <v>0</v>
      </c>
      <c r="AL72" s="91">
        <f>'Tillegg- Res. Det. Øvrige'!N72</f>
        <v>0</v>
      </c>
      <c r="AM72" s="91" t="str">
        <f>IF(F72=0,"",('Tillegg- Inndata Øvrige'!E72+'Tillegg- Inndata Øvrige'!F72)*ROUNDDOWN('Tillegg- Inndata Øvrige'!I72,0)*(1+'Tillegg- Inndata Øvrige'!K72))</f>
        <v/>
      </c>
      <c r="AO72" s="1"/>
    </row>
    <row r="73" spans="2:41">
      <c r="B73" s="327">
        <f>'Tillegg- Inndata Øvrige'!B71</f>
        <v>0</v>
      </c>
      <c r="C73" s="327">
        <f>'Tillegg- Inndata Øvrige'!C71</f>
        <v>0</v>
      </c>
      <c r="D73" s="327">
        <f>'Tillegg- Inndata Øvrige'!D71</f>
        <v>0</v>
      </c>
      <c r="E73" s="421" cm="1">
        <f t="array" ref="E73">SUM(IFERROR(F73:AF73,0))</f>
        <v>0</v>
      </c>
      <c r="F73" s="330">
        <f>'Tillegg- Inndata Øvrige'!E71</f>
        <v>0</v>
      </c>
      <c r="G73" s="330">
        <f>IF('Tillegg- Inndata Øvrige'!AB71="Ja", -0.8*$F73, 0)</f>
        <v>0</v>
      </c>
      <c r="H73" s="330">
        <f>IF('Tillegg- Inndata Øvrige'!AC71="Ja", -0.4*$F73, 0)</f>
        <v>0</v>
      </c>
      <c r="I73" s="330">
        <f>IF('Tillegg- Inndata Øvrige'!AD71="Ja", -1*$F73, 0)</f>
        <v>0</v>
      </c>
      <c r="J73" s="330">
        <f>'Tillegg- Inndata Øvrige'!O71*'Tillegg- Inndata Øvrige'!P71</f>
        <v>0</v>
      </c>
      <c r="K73" s="330">
        <f>MAX(-0.75*(SUM('Tillegg- Res. Det. Øvrige'!F73:J73)),-'Tillegg- Inndata Øvrige'!O71*'Tillegg- Inndata Øvrige'!Q71)</f>
        <v>0</v>
      </c>
      <c r="L73" s="330">
        <f>'Tillegg- Inndata Øvrige'!S71*'Tillegg- Inndata Øvrige'!T71</f>
        <v>0</v>
      </c>
      <c r="M73" s="330">
        <f>MAX(-0.75*(SUM('Tillegg- Res. Det. Øvrige'!F73:I73,L73)),-'Tillegg- Inndata Øvrige'!S71*'Tillegg- Inndata Øvrige'!U71)</f>
        <v>0</v>
      </c>
      <c r="N73" s="331">
        <f>'Tillegg- Inndata Øvrige'!F71</f>
        <v>0</v>
      </c>
      <c r="O73" s="330">
        <f>'Tillegg- Inndata Øvrige'!O71*'Tillegg- Inndata Øvrige'!R71</f>
        <v>0</v>
      </c>
      <c r="P73" s="332">
        <f>'Tillegg- Inndata Øvrige'!S71*'Tillegg- Inndata Øvrige'!V71</f>
        <v>0</v>
      </c>
      <c r="Q73" s="333">
        <f>SUM(F73:J73,L73)*'Tillegg- Inndata Øvrige'!K71</f>
        <v>0</v>
      </c>
      <c r="R73" s="333">
        <f>(K73+M73)*'Tillegg- Inndata Øvrige'!K71</f>
        <v>0</v>
      </c>
      <c r="S73" s="333">
        <f>SUM(N73:P73)*'Tillegg- Inndata Øvrige'!K71</f>
        <v>0</v>
      </c>
      <c r="T73" s="334">
        <f>('Tillegg- Inndata Øvrige'!G71+'Tillegg- Inndata Øvrige'!O71+'Tillegg- Inndata Øvrige'!S71)*'Tillegg- Inndata Øvrige'!K71*Transport_utslipp_til_avfallshånderting_per_kg</f>
        <v>0</v>
      </c>
      <c r="U73" s="330">
        <f>IF('Tillegg- Inndata Øvrige'!E71 = 0, 0, 1.833*'Tillegg- Inndata Øvrige'!X71*'Tillegg- Inndata Øvrige'!K71*('Tillegg- Inndata Øvrige'!G71*('Tillegg- Inndata Øvrige'!L71*0.5+'Tillegg- Inndata Øvrige'!M71*0.8) + (12/44)*('Tillegg- Inndata Øvrige'!O71*'Tillegg- Inndata Øvrige'!Q71+'Tillegg- Inndata Øvrige'!S71*'Tillegg- Inndata Øvrige'!U71)))</f>
        <v>0</v>
      </c>
      <c r="V73" s="335">
        <f>IF('Tillegg- Inndata Øvrige'!G71 = 0, 0,  MAX(-SUM(F73:J73,L73)*'Tillegg- Inndata Øvrige'!L71, -0.114*IF('Tillegg- Inndata Øvrige'!H71 &gt; 49, _xlfn.XLOOKUP(49, År_etter_ferdigstillelse, karbon_opptak_faktor), _xlfn.XLOOKUP('Tillegg- Inndata Øvrige'!H71, År_etter_ferdigstillelse, karbon_opptak_faktor))*'Tillegg- Inndata Øvrige'!G71*'Tillegg- Inndata Øvrige'!L71*0.5))</f>
        <v>0</v>
      </c>
      <c r="W73" s="333">
        <f>IF('Tillegg- Inndata Øvrige'!G71=0,0,IF('Tillegg- Inndata Øvrige'!H71&gt;49,-0.064*'Tillegg- Inndata Øvrige'!G71*'Tillegg- Inndata Øvrige'!N71,-0.037*'Tillegg- Inndata Øvrige'!J71*'Tillegg- Inndata Øvrige'!N71))</f>
        <v>0</v>
      </c>
      <c r="X73" s="331" cm="1">
        <f t="array" ref="X73">IF(SUM(F73:J73,L73)=0, 0, SUM(F73:J73,L73)*(1+'Tillegg-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Y73" s="330" cm="1">
        <f t="array" ref="Y73">IF(X73=0, 0, SUM(K73,M73)*(1+'Tillegg-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Z73" s="336" cm="1">
        <f t="array" ref="Z73">IF(X73=0, 0, SUM(N73:P73)*(1+'Tillegg-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A73" s="336" cm="1">
        <f t="array" ref="AA73">IF(X73=0, 0, ('Tillegg- Inndata Øvrige'!G71+'Tillegg- Inndata Øvrige'!O71+'Tillegg- Inndata Øvrige'!S71)*(1+'Tillegg- Inndata Øvrige'!K71)*Transport_utslipp_til_avfallshånderting_per_kg*IF('Tillegg-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B73" s="334" cm="1">
        <f t="array" ref="AB73">IF(X73=0, 0,1.833*'Tillegg- Inndata Øvrige'!J71*('Tillegg- Inndata Øvrige'!X71*_xlfn.XLOOKUP(IF('Tillegg- Inndata Øvrige'!I71&lt;2,'Tillegg- Inndata Øvrige'!H71,'Tillegg- Inndata Øvrige'!H71*2), År_etter_ferdigstillelse, Faktorer!$Z$7:$Z$58))*('Tillegg- Inndata Øvrige'!L71*0.5+'Tillegg- Inndata Øvrige'!M71*0.8)*_xlfn.XLOOKUP(IF('Tillegg- Inndata Øvrige'!I71&lt;2,'Tillegg- Inndata Øvrige'!H71,'Tillegg- Inndata Øvrige'!H71*2), År_etter_ferdigstillelse,  IF(LEFT('Tillegg- Inndata Øvrige'!B71, 2)= 49, f_tid_x_f_tek_d_0_037, f_tid_x_f_tek_d_0_01)))</f>
        <v>0</v>
      </c>
      <c r="AC73" s="335">
        <f>IF(('Tillegg- Inndata Øvrige'!G71) = 0, 0,('Tillegg- Inndata Øvrige'!G71*((AG73+AI73)*Transport_utslipp_til_avfallshånderting_per_kg)+('Tillegg- Inndata Øvrige'!Z71*'ZERO-B Beregning'!D173)*IF('ZERO-B Beregning'!F174=0,'ZERO-B Beregning'!D174,'ZERO-B Beregning'!F174))*_xlfn.XLOOKUP(51, År_etter_ferdigstillelse, f_tid_x_f_tek_d_0_01))</f>
        <v>0</v>
      </c>
      <c r="AD73" s="337">
        <f>IF(('Tillegg- Inndata Øvrige'!G71) = 0, 0,1.833*('Tillegg- Inndata Øvrige'!G71*('Tillegg- Inndata Øvrige'!L71*0.5+'Tillegg- Inndata Øvrige'!M71*0.8)*AG73*_xlfn.XLOOKUP(51, År_etter_ferdigstillelse,  f_tid_x_f_tek_d_0_01)))</f>
        <v>0</v>
      </c>
      <c r="AE73" s="333" cm="1">
        <f t="array" ref="AE73">IF(('Tillegg- Inndata Øvrige'!G71) = 0, 0,-0.8*('Tillegg- Inndata Øvrige'!G71)*AH73*('Tillegg- Inndata Øvrige'!E71/'Tillegg- Inndata Øvrige'!G71)*_xlfn.XLOOKUP(51, År_etter_ferdigstillelse,  IF(LEFT('Tillegg- Inndata Øvrige'!B71, 2)= 49, f_tid_x_f_tek_d_0_037, f_tid_x_f_tek_d_0_01)))</f>
        <v>0</v>
      </c>
      <c r="AF73" s="338" cm="1">
        <f t="array" ref="AF73">IF(('Tillegg- Inndata Øvrige'!G71) = 0, 0,-0.1*('Tillegg- Inndata Øvrige'!G71)*AI73*('Tillegg- Inndata Øvrige'!E71/'Tillegg- Inndata Øvrige'!G71)*_xlfn.XLOOKUP(51, År_etter_ferdigstillelse,  IF(LEFT('Tillegg- Inndata Øvrige'!B71, 2)= 49, f_tid_x_f_tek_d_0_037, f_tid_x_f_tek_d_0_01)))</f>
        <v>0</v>
      </c>
      <c r="AG73" s="572">
        <f>IF(('Tillegg- Inndata Øvrige'!G71) = 0, 0,'Tillegg- Inndata Øvrige'!X71*Faktorer!$Z$58)</f>
        <v>0</v>
      </c>
      <c r="AH73" s="573">
        <f>IF(('Tillegg- Inndata Øvrige'!G71) = 0, 0,'Tillegg- Inndata Øvrige'!Z71+('Tillegg- Inndata Øvrige'!X71+'Tillegg- Inndata Øvrige'!Y71)*(1-Faktorer!$Z$58)*0.5)</f>
        <v>0</v>
      </c>
      <c r="AI73" s="574">
        <f>IF(('Tillegg- Inndata Øvrige'!G71) = 0, 0,'Tillegg- Inndata Øvrige'!AA71+('Tillegg- Inndata Øvrige'!X71+'Tillegg- Inndata Øvrige'!Y71)*(1-Faktorer!$Z$58)*0.5)</f>
        <v>0</v>
      </c>
      <c r="AK73" s="90">
        <f t="shared" si="1"/>
        <v>0</v>
      </c>
      <c r="AL73" s="91">
        <f>'Tillegg- Res. Det. Øvrige'!N73</f>
        <v>0</v>
      </c>
      <c r="AM73" s="91" t="str">
        <f>IF(F73=0,"",('Tillegg- Inndata Øvrige'!E73+'Tillegg- Inndata Øvrige'!F73)*ROUNDDOWN('Tillegg- Inndata Øvrige'!I73,0)*(1+'Tillegg- Inndata Øvrige'!K73))</f>
        <v/>
      </c>
      <c r="AO73" s="1"/>
    </row>
    <row r="74" spans="2:41">
      <c r="B74" s="327">
        <f>'Tillegg- Inndata Øvrige'!B72</f>
        <v>0</v>
      </c>
      <c r="C74" s="327">
        <f>'Tillegg- Inndata Øvrige'!C72</f>
        <v>0</v>
      </c>
      <c r="D74" s="327">
        <f>'Tillegg- Inndata Øvrige'!D72</f>
        <v>0</v>
      </c>
      <c r="E74" s="421" cm="1">
        <f t="array" ref="E74">SUM(IFERROR(F74:AF74,0))</f>
        <v>0</v>
      </c>
      <c r="F74" s="330">
        <f>'Tillegg- Inndata Øvrige'!E72</f>
        <v>0</v>
      </c>
      <c r="G74" s="330">
        <f>IF('Tillegg- Inndata Øvrige'!AB72="Ja", -0.8*$F74, 0)</f>
        <v>0</v>
      </c>
      <c r="H74" s="330">
        <f>IF('Tillegg- Inndata Øvrige'!AC72="Ja", -0.4*$F74, 0)</f>
        <v>0</v>
      </c>
      <c r="I74" s="330">
        <f>IF('Tillegg- Inndata Øvrige'!AD72="Ja", -1*$F74, 0)</f>
        <v>0</v>
      </c>
      <c r="J74" s="330">
        <f>'Tillegg- Inndata Øvrige'!O72*'Tillegg- Inndata Øvrige'!P72</f>
        <v>0</v>
      </c>
      <c r="K74" s="330">
        <f>MAX(-0.75*(SUM('Tillegg- Res. Det. Øvrige'!F74:J74)),-'Tillegg- Inndata Øvrige'!O72*'Tillegg- Inndata Øvrige'!Q72)</f>
        <v>0</v>
      </c>
      <c r="L74" s="330">
        <f>'Tillegg- Inndata Øvrige'!S72*'Tillegg- Inndata Øvrige'!T72</f>
        <v>0</v>
      </c>
      <c r="M74" s="330">
        <f>MAX(-0.75*(SUM('Tillegg- Res. Det. Øvrige'!F74:I74,L74)),-'Tillegg- Inndata Øvrige'!S72*'Tillegg- Inndata Øvrige'!U72)</f>
        <v>0</v>
      </c>
      <c r="N74" s="331">
        <f>'Tillegg- Inndata Øvrige'!F72</f>
        <v>0</v>
      </c>
      <c r="O74" s="330">
        <f>'Tillegg- Inndata Øvrige'!O72*'Tillegg- Inndata Øvrige'!R72</f>
        <v>0</v>
      </c>
      <c r="P74" s="332">
        <f>'Tillegg- Inndata Øvrige'!S72*'Tillegg- Inndata Øvrige'!V72</f>
        <v>0</v>
      </c>
      <c r="Q74" s="333">
        <f>SUM(F74:J74,L74)*'Tillegg- Inndata Øvrige'!K72</f>
        <v>0</v>
      </c>
      <c r="R74" s="333">
        <f>(K74+M74)*'Tillegg- Inndata Øvrige'!K72</f>
        <v>0</v>
      </c>
      <c r="S74" s="333">
        <f>SUM(N74:P74)*'Tillegg- Inndata Øvrige'!K72</f>
        <v>0</v>
      </c>
      <c r="T74" s="334">
        <f>('Tillegg- Inndata Øvrige'!G72+'Tillegg- Inndata Øvrige'!O72+'Tillegg- Inndata Øvrige'!S72)*'Tillegg- Inndata Øvrige'!K72*Transport_utslipp_til_avfallshånderting_per_kg</f>
        <v>0</v>
      </c>
      <c r="U74" s="330">
        <f>IF('Tillegg- Inndata Øvrige'!E72 = 0, 0, 1.833*'Tillegg- Inndata Øvrige'!X72*'Tillegg- Inndata Øvrige'!K72*('Tillegg- Inndata Øvrige'!G72*('Tillegg- Inndata Øvrige'!L72*0.5+'Tillegg- Inndata Øvrige'!M72*0.8) + (12/44)*('Tillegg- Inndata Øvrige'!O72*'Tillegg- Inndata Øvrige'!Q72+'Tillegg- Inndata Øvrige'!S72*'Tillegg- Inndata Øvrige'!U72)))</f>
        <v>0</v>
      </c>
      <c r="V74" s="335">
        <f>IF('Tillegg- Inndata Øvrige'!G72 = 0, 0,  MAX(-SUM(F74:J74,L74)*'Tillegg- Inndata Øvrige'!L72, -0.114*IF('Tillegg- Inndata Øvrige'!H72 &gt; 49, _xlfn.XLOOKUP(49, År_etter_ferdigstillelse, karbon_opptak_faktor), _xlfn.XLOOKUP('Tillegg- Inndata Øvrige'!H72, År_etter_ferdigstillelse, karbon_opptak_faktor))*'Tillegg- Inndata Øvrige'!G72*'Tillegg- Inndata Øvrige'!L72*0.5))</f>
        <v>0</v>
      </c>
      <c r="W74" s="333">
        <f>IF('Tillegg- Inndata Øvrige'!G72=0,0,IF('Tillegg- Inndata Øvrige'!H72&gt;49,-0.064*'Tillegg- Inndata Øvrige'!G72*'Tillegg- Inndata Øvrige'!N72,-0.037*'Tillegg- Inndata Øvrige'!J72*'Tillegg- Inndata Øvrige'!N72))</f>
        <v>0</v>
      </c>
      <c r="X74" s="331" cm="1">
        <f t="array" ref="X74">IF(SUM(F74:J74,L74)=0, 0, SUM(F74:J74,L74)*(1+'Tillegg-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Y74" s="330" cm="1">
        <f t="array" ref="Y74">IF(X74=0, 0, SUM(K74,M74)*(1+'Tillegg-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Z74" s="336" cm="1">
        <f t="array" ref="Z74">IF(X74=0, 0, SUM(N74:P74)*(1+'Tillegg-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A74" s="336" cm="1">
        <f t="array" ref="AA74">IF(X74=0, 0, ('Tillegg- Inndata Øvrige'!G72+'Tillegg- Inndata Øvrige'!O72+'Tillegg- Inndata Øvrige'!S72)*(1+'Tillegg- Inndata Øvrige'!K72)*Transport_utslipp_til_avfallshånderting_per_kg*IF('Tillegg-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B74" s="334" cm="1">
        <f t="array" ref="AB74">IF(X74=0, 0,1.833*'Tillegg- Inndata Øvrige'!J72*('Tillegg- Inndata Øvrige'!X72*_xlfn.XLOOKUP(IF('Tillegg- Inndata Øvrige'!I72&lt;2,'Tillegg- Inndata Øvrige'!H72,'Tillegg- Inndata Øvrige'!H72*2), År_etter_ferdigstillelse, Faktorer!$Z$7:$Z$58))*('Tillegg- Inndata Øvrige'!L72*0.5+'Tillegg- Inndata Øvrige'!M72*0.8)*_xlfn.XLOOKUP(IF('Tillegg- Inndata Øvrige'!I72&lt;2,'Tillegg- Inndata Øvrige'!H72,'Tillegg- Inndata Øvrige'!H72*2), År_etter_ferdigstillelse,  IF(LEFT('Tillegg- Inndata Øvrige'!B72, 2)= 49, f_tid_x_f_tek_d_0_037, f_tid_x_f_tek_d_0_01)))</f>
        <v>0</v>
      </c>
      <c r="AC74" s="335">
        <f>IF(('Tillegg- Inndata Øvrige'!G72) = 0, 0,('Tillegg- Inndata Øvrige'!G72*((AG74+AI74)*Transport_utslipp_til_avfallshånderting_per_kg)+('Tillegg- Inndata Øvrige'!Z72*'ZERO-B Beregning'!D174)*IF('ZERO-B Beregning'!F175=0,'ZERO-B Beregning'!D175,'ZERO-B Beregning'!F175))*_xlfn.XLOOKUP(51, År_etter_ferdigstillelse, f_tid_x_f_tek_d_0_01))</f>
        <v>0</v>
      </c>
      <c r="AD74" s="337">
        <f>IF(('Tillegg- Inndata Øvrige'!G72) = 0, 0,1.833*('Tillegg- Inndata Øvrige'!G72*('Tillegg- Inndata Øvrige'!L72*0.5+'Tillegg- Inndata Øvrige'!M72*0.8)*AG74*_xlfn.XLOOKUP(51, År_etter_ferdigstillelse,  f_tid_x_f_tek_d_0_01)))</f>
        <v>0</v>
      </c>
      <c r="AE74" s="333" cm="1">
        <f t="array" ref="AE74">IF(('Tillegg- Inndata Øvrige'!G72) = 0, 0,-0.8*('Tillegg- Inndata Øvrige'!G72)*AH74*('Tillegg- Inndata Øvrige'!E72/'Tillegg- Inndata Øvrige'!G72)*_xlfn.XLOOKUP(51, År_etter_ferdigstillelse,  IF(LEFT('Tillegg- Inndata Øvrige'!B72, 2)= 49, f_tid_x_f_tek_d_0_037, f_tid_x_f_tek_d_0_01)))</f>
        <v>0</v>
      </c>
      <c r="AF74" s="338" cm="1">
        <f t="array" ref="AF74">IF(('Tillegg- Inndata Øvrige'!G72) = 0, 0,-0.1*('Tillegg- Inndata Øvrige'!G72)*AI74*('Tillegg- Inndata Øvrige'!E72/'Tillegg- Inndata Øvrige'!G72)*_xlfn.XLOOKUP(51, År_etter_ferdigstillelse,  IF(LEFT('Tillegg- Inndata Øvrige'!B72, 2)= 49, f_tid_x_f_tek_d_0_037, f_tid_x_f_tek_d_0_01)))</f>
        <v>0</v>
      </c>
      <c r="AG74" s="572">
        <f>IF(('Tillegg- Inndata Øvrige'!G72) = 0, 0,'Tillegg- Inndata Øvrige'!X72*Faktorer!$Z$58)</f>
        <v>0</v>
      </c>
      <c r="AH74" s="573">
        <f>IF(('Tillegg- Inndata Øvrige'!G72) = 0, 0,'Tillegg- Inndata Øvrige'!Z72+('Tillegg- Inndata Øvrige'!X72+'Tillegg- Inndata Øvrige'!Y72)*(1-Faktorer!$Z$58)*0.5)</f>
        <v>0</v>
      </c>
      <c r="AI74" s="574">
        <f>IF(('Tillegg- Inndata Øvrige'!G72) = 0, 0,'Tillegg- Inndata Øvrige'!AA72+('Tillegg- Inndata Øvrige'!X72+'Tillegg- Inndata Øvrige'!Y72)*(1-Faktorer!$Z$58)*0.5)</f>
        <v>0</v>
      </c>
      <c r="AK74" s="90">
        <f t="shared" si="1"/>
        <v>0</v>
      </c>
      <c r="AL74" s="91">
        <f>'Tillegg- Res. Det. Øvrige'!N74</f>
        <v>0</v>
      </c>
      <c r="AM74" s="91" t="str">
        <f>IF(F74=0,"",('Tillegg- Inndata Øvrige'!E74+'Tillegg- Inndata Øvrige'!F74)*ROUNDDOWN('Tillegg- Inndata Øvrige'!I74,0)*(1+'Tillegg- Inndata Øvrige'!K74))</f>
        <v/>
      </c>
      <c r="AO74" s="1"/>
    </row>
    <row r="75" spans="2:41">
      <c r="B75" s="327">
        <f>'Tillegg- Inndata Øvrige'!B73</f>
        <v>0</v>
      </c>
      <c r="C75" s="327">
        <f>'Tillegg- Inndata Øvrige'!C73</f>
        <v>0</v>
      </c>
      <c r="D75" s="327">
        <f>'Tillegg- Inndata Øvrige'!D73</f>
        <v>0</v>
      </c>
      <c r="E75" s="421" cm="1">
        <f t="array" ref="E75">SUM(IFERROR(F75:AF75,0))</f>
        <v>0</v>
      </c>
      <c r="F75" s="330">
        <f>'Tillegg- Inndata Øvrige'!E73</f>
        <v>0</v>
      </c>
      <c r="G75" s="330">
        <f>IF('Tillegg- Inndata Øvrige'!AB73="Ja", -0.8*$F75, 0)</f>
        <v>0</v>
      </c>
      <c r="H75" s="330">
        <f>IF('Tillegg- Inndata Øvrige'!AC73="Ja", -0.4*$F75, 0)</f>
        <v>0</v>
      </c>
      <c r="I75" s="330">
        <f>IF('Tillegg- Inndata Øvrige'!AD73="Ja", -1*$F75, 0)</f>
        <v>0</v>
      </c>
      <c r="J75" s="330">
        <f>'Tillegg- Inndata Øvrige'!O73*'Tillegg- Inndata Øvrige'!P73</f>
        <v>0</v>
      </c>
      <c r="K75" s="330">
        <f>MAX(-0.75*(SUM('Tillegg- Res. Det. Øvrige'!F75:J75)),-'Tillegg- Inndata Øvrige'!O73*'Tillegg- Inndata Øvrige'!Q73)</f>
        <v>0</v>
      </c>
      <c r="L75" s="330">
        <f>'Tillegg- Inndata Øvrige'!S73*'Tillegg- Inndata Øvrige'!T73</f>
        <v>0</v>
      </c>
      <c r="M75" s="330">
        <f>MAX(-0.75*(SUM('Tillegg- Res. Det. Øvrige'!F75:I75,L75)),-'Tillegg- Inndata Øvrige'!S73*'Tillegg- Inndata Øvrige'!U73)</f>
        <v>0</v>
      </c>
      <c r="N75" s="331">
        <f>'Tillegg- Inndata Øvrige'!F73</f>
        <v>0</v>
      </c>
      <c r="O75" s="330">
        <f>'Tillegg- Inndata Øvrige'!O73*'Tillegg- Inndata Øvrige'!R73</f>
        <v>0</v>
      </c>
      <c r="P75" s="332">
        <f>'Tillegg- Inndata Øvrige'!S73*'Tillegg- Inndata Øvrige'!V73</f>
        <v>0</v>
      </c>
      <c r="Q75" s="333">
        <f>SUM(F75:J75,L75)*'Tillegg- Inndata Øvrige'!K73</f>
        <v>0</v>
      </c>
      <c r="R75" s="333">
        <f>(K75+M75)*'Tillegg- Inndata Øvrige'!K73</f>
        <v>0</v>
      </c>
      <c r="S75" s="333">
        <f>SUM(N75:P75)*'Tillegg- Inndata Øvrige'!K73</f>
        <v>0</v>
      </c>
      <c r="T75" s="334">
        <f>('Tillegg- Inndata Øvrige'!G73+'Tillegg- Inndata Øvrige'!O73+'Tillegg- Inndata Øvrige'!S73)*'Tillegg- Inndata Øvrige'!K73*Transport_utslipp_til_avfallshånderting_per_kg</f>
        <v>0</v>
      </c>
      <c r="U75" s="330">
        <f>IF('Tillegg- Inndata Øvrige'!E73 = 0, 0, 1.833*'Tillegg- Inndata Øvrige'!X73*'Tillegg- Inndata Øvrige'!K73*('Tillegg- Inndata Øvrige'!G73*('Tillegg- Inndata Øvrige'!L73*0.5+'Tillegg- Inndata Øvrige'!M73*0.8) + (12/44)*('Tillegg- Inndata Øvrige'!O73*'Tillegg- Inndata Øvrige'!Q73+'Tillegg- Inndata Øvrige'!S73*'Tillegg- Inndata Øvrige'!U73)))</f>
        <v>0</v>
      </c>
      <c r="V75" s="335">
        <f>IF('Tillegg- Inndata Øvrige'!G73 = 0, 0,  MAX(-SUM(F75:J75,L75)*'Tillegg- Inndata Øvrige'!L73, -0.114*IF('Tillegg- Inndata Øvrige'!H73 &gt; 49, _xlfn.XLOOKUP(49, År_etter_ferdigstillelse, karbon_opptak_faktor), _xlfn.XLOOKUP('Tillegg- Inndata Øvrige'!H73, År_etter_ferdigstillelse, karbon_opptak_faktor))*'Tillegg- Inndata Øvrige'!G73*'Tillegg- Inndata Øvrige'!L73*0.5))</f>
        <v>0</v>
      </c>
      <c r="W75" s="333">
        <f>IF('Tillegg- Inndata Øvrige'!G73=0,0,IF('Tillegg- Inndata Øvrige'!H73&gt;49,-0.064*'Tillegg- Inndata Øvrige'!G73*'Tillegg- Inndata Øvrige'!N73,-0.037*'Tillegg- Inndata Øvrige'!J73*'Tillegg- Inndata Øvrige'!N73))</f>
        <v>0</v>
      </c>
      <c r="X75" s="331" cm="1">
        <f t="array" ref="X75">IF(SUM(F75:J75,L75)=0, 0, SUM(F75:J75,L75)*(1+'Tillegg-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Y75" s="330" cm="1">
        <f t="array" ref="Y75">IF(X75=0, 0, SUM(K75,M75)*(1+'Tillegg-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Z75" s="336" cm="1">
        <f t="array" ref="Z75">IF(X75=0, 0, SUM(N75:P75)*(1+'Tillegg-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A75" s="336" cm="1">
        <f t="array" ref="AA75">IF(X75=0, 0, ('Tillegg- Inndata Øvrige'!G73+'Tillegg- Inndata Øvrige'!O73+'Tillegg- Inndata Øvrige'!S73)*(1+'Tillegg- Inndata Øvrige'!K73)*Transport_utslipp_til_avfallshånderting_per_kg*IF('Tillegg-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B75" s="334" cm="1">
        <f t="array" ref="AB75">IF(X75=0, 0,1.833*'Tillegg- Inndata Øvrige'!J73*('Tillegg- Inndata Øvrige'!X73*_xlfn.XLOOKUP(IF('Tillegg- Inndata Øvrige'!I73&lt;2,'Tillegg- Inndata Øvrige'!H73,'Tillegg- Inndata Øvrige'!H73*2), År_etter_ferdigstillelse, Faktorer!$Z$7:$Z$58))*('Tillegg- Inndata Øvrige'!L73*0.5+'Tillegg- Inndata Øvrige'!M73*0.8)*_xlfn.XLOOKUP(IF('Tillegg- Inndata Øvrige'!I73&lt;2,'Tillegg- Inndata Øvrige'!H73,'Tillegg- Inndata Øvrige'!H73*2), År_etter_ferdigstillelse,  IF(LEFT('Tillegg- Inndata Øvrige'!B73, 2)= 49, f_tid_x_f_tek_d_0_037, f_tid_x_f_tek_d_0_01)))</f>
        <v>0</v>
      </c>
      <c r="AC75" s="335">
        <f>IF(('Tillegg- Inndata Øvrige'!G73) = 0, 0,('Tillegg- Inndata Øvrige'!G73*((AG75+AI75)*Transport_utslipp_til_avfallshånderting_per_kg)+('Tillegg- Inndata Øvrige'!Z73*'ZERO-B Beregning'!D175)*IF('ZERO-B Beregning'!F176=0,'ZERO-B Beregning'!D176,'ZERO-B Beregning'!F176))*_xlfn.XLOOKUP(51, År_etter_ferdigstillelse, f_tid_x_f_tek_d_0_01))</f>
        <v>0</v>
      </c>
      <c r="AD75" s="337">
        <f>IF(('Tillegg- Inndata Øvrige'!G73) = 0, 0,1.833*('Tillegg- Inndata Øvrige'!G73*('Tillegg- Inndata Øvrige'!L73*0.5+'Tillegg- Inndata Øvrige'!M73*0.8)*AG75*_xlfn.XLOOKUP(51, År_etter_ferdigstillelse,  f_tid_x_f_tek_d_0_01)))</f>
        <v>0</v>
      </c>
      <c r="AE75" s="333" cm="1">
        <f t="array" ref="AE75">IF(('Tillegg- Inndata Øvrige'!G73) = 0, 0,-0.8*('Tillegg- Inndata Øvrige'!G73)*AH75*('Tillegg- Inndata Øvrige'!E73/'Tillegg- Inndata Øvrige'!G73)*_xlfn.XLOOKUP(51, År_etter_ferdigstillelse,  IF(LEFT('Tillegg- Inndata Øvrige'!B73, 2)= 49, f_tid_x_f_tek_d_0_037, f_tid_x_f_tek_d_0_01)))</f>
        <v>0</v>
      </c>
      <c r="AF75" s="338" cm="1">
        <f t="array" ref="AF75">IF(('Tillegg- Inndata Øvrige'!G73) = 0, 0,-0.1*('Tillegg- Inndata Øvrige'!G73)*AI75*('Tillegg- Inndata Øvrige'!E73/'Tillegg- Inndata Øvrige'!G73)*_xlfn.XLOOKUP(51, År_etter_ferdigstillelse,  IF(LEFT('Tillegg- Inndata Øvrige'!B73, 2)= 49, f_tid_x_f_tek_d_0_037, f_tid_x_f_tek_d_0_01)))</f>
        <v>0</v>
      </c>
      <c r="AG75" s="572">
        <f>IF(('Tillegg- Inndata Øvrige'!G73) = 0, 0,'Tillegg- Inndata Øvrige'!X73*Faktorer!$Z$58)</f>
        <v>0</v>
      </c>
      <c r="AH75" s="573">
        <f>IF(('Tillegg- Inndata Øvrige'!G73) = 0, 0,'Tillegg- Inndata Øvrige'!Z73+('Tillegg- Inndata Øvrige'!X73+'Tillegg- Inndata Øvrige'!Y73)*(1-Faktorer!$Z$58)*0.5)</f>
        <v>0</v>
      </c>
      <c r="AI75" s="574">
        <f>IF(('Tillegg- Inndata Øvrige'!G73) = 0, 0,'Tillegg- Inndata Øvrige'!AA73+('Tillegg- Inndata Øvrige'!X73+'Tillegg- Inndata Øvrige'!Y73)*(1-Faktorer!$Z$58)*0.5)</f>
        <v>0</v>
      </c>
      <c r="AK75" s="90">
        <f t="shared" si="1"/>
        <v>0</v>
      </c>
      <c r="AL75" s="91">
        <f>'Tillegg- Res. Det. Øvrige'!N75</f>
        <v>0</v>
      </c>
      <c r="AM75" s="91" t="str">
        <f>IF(F75=0,"",('Tillegg- Inndata Øvrige'!E75+'Tillegg- Inndata Øvrige'!F75)*ROUNDDOWN('Tillegg- Inndata Øvrige'!I75,0)*(1+'Tillegg- Inndata Øvrige'!K75))</f>
        <v/>
      </c>
      <c r="AO75" s="1"/>
    </row>
    <row r="76" spans="2:41">
      <c r="B76" s="327">
        <f>'Tillegg- Inndata Øvrige'!B74</f>
        <v>0</v>
      </c>
      <c r="C76" s="327">
        <f>'Tillegg- Inndata Øvrige'!C74</f>
        <v>0</v>
      </c>
      <c r="D76" s="327">
        <f>'Tillegg- Inndata Øvrige'!D74</f>
        <v>0</v>
      </c>
      <c r="E76" s="421" cm="1">
        <f t="array" ref="E76">SUM(IFERROR(F76:AF76,0))</f>
        <v>0</v>
      </c>
      <c r="F76" s="330">
        <f>'Tillegg- Inndata Øvrige'!E74</f>
        <v>0</v>
      </c>
      <c r="G76" s="330">
        <f>IF('Tillegg- Inndata Øvrige'!AB74="Ja", -0.8*$F76, 0)</f>
        <v>0</v>
      </c>
      <c r="H76" s="330">
        <f>IF('Tillegg- Inndata Øvrige'!AC74="Ja", -0.4*$F76, 0)</f>
        <v>0</v>
      </c>
      <c r="I76" s="330">
        <f>IF('Tillegg- Inndata Øvrige'!AD74="Ja", -1*$F76, 0)</f>
        <v>0</v>
      </c>
      <c r="J76" s="330">
        <f>'Tillegg- Inndata Øvrige'!O74*'Tillegg- Inndata Øvrige'!P74</f>
        <v>0</v>
      </c>
      <c r="K76" s="330">
        <f>MAX(-0.75*(SUM('Tillegg- Res. Det. Øvrige'!F76:J76)),-'Tillegg- Inndata Øvrige'!O74*'Tillegg- Inndata Øvrige'!Q74)</f>
        <v>0</v>
      </c>
      <c r="L76" s="330">
        <f>'Tillegg- Inndata Øvrige'!S74*'Tillegg- Inndata Øvrige'!T74</f>
        <v>0</v>
      </c>
      <c r="M76" s="330">
        <f>MAX(-0.75*(SUM('Tillegg- Res. Det. Øvrige'!F76:I76,L76)),-'Tillegg- Inndata Øvrige'!S74*'Tillegg- Inndata Øvrige'!U74)</f>
        <v>0</v>
      </c>
      <c r="N76" s="331">
        <f>'Tillegg- Inndata Øvrige'!F74</f>
        <v>0</v>
      </c>
      <c r="O76" s="330">
        <f>'Tillegg- Inndata Øvrige'!O74*'Tillegg- Inndata Øvrige'!R74</f>
        <v>0</v>
      </c>
      <c r="P76" s="332">
        <f>'Tillegg- Inndata Øvrige'!S74*'Tillegg- Inndata Øvrige'!V74</f>
        <v>0</v>
      </c>
      <c r="Q76" s="333">
        <f>SUM(F76:J76,L76)*'Tillegg- Inndata Øvrige'!K74</f>
        <v>0</v>
      </c>
      <c r="R76" s="333">
        <f>(K76+M76)*'Tillegg- Inndata Øvrige'!K74</f>
        <v>0</v>
      </c>
      <c r="S76" s="333">
        <f>SUM(N76:P76)*'Tillegg- Inndata Øvrige'!K74</f>
        <v>0</v>
      </c>
      <c r="T76" s="334">
        <f>('Tillegg- Inndata Øvrige'!G74+'Tillegg- Inndata Øvrige'!O74+'Tillegg- Inndata Øvrige'!S74)*'Tillegg- Inndata Øvrige'!K74*Transport_utslipp_til_avfallshånderting_per_kg</f>
        <v>0</v>
      </c>
      <c r="U76" s="330">
        <f>IF('Tillegg- Inndata Øvrige'!E74 = 0, 0, 1.833*'Tillegg- Inndata Øvrige'!X74*'Tillegg- Inndata Øvrige'!K74*('Tillegg- Inndata Øvrige'!G74*('Tillegg- Inndata Øvrige'!L74*0.5+'Tillegg- Inndata Øvrige'!M74*0.8) + (12/44)*('Tillegg- Inndata Øvrige'!O74*'Tillegg- Inndata Øvrige'!Q74+'Tillegg- Inndata Øvrige'!S74*'Tillegg- Inndata Øvrige'!U74)))</f>
        <v>0</v>
      </c>
      <c r="V76" s="335">
        <f>IF('Tillegg- Inndata Øvrige'!G74 = 0, 0,  MAX(-SUM(F76:J76,L76)*'Tillegg- Inndata Øvrige'!L74, -0.114*IF('Tillegg- Inndata Øvrige'!H74 &gt; 49, _xlfn.XLOOKUP(49, År_etter_ferdigstillelse, karbon_opptak_faktor), _xlfn.XLOOKUP('Tillegg- Inndata Øvrige'!H74, År_etter_ferdigstillelse, karbon_opptak_faktor))*'Tillegg- Inndata Øvrige'!G74*'Tillegg- Inndata Øvrige'!L74*0.5))</f>
        <v>0</v>
      </c>
      <c r="W76" s="333">
        <f>IF('Tillegg- Inndata Øvrige'!G74=0,0,IF('Tillegg- Inndata Øvrige'!H74&gt;49,-0.064*'Tillegg- Inndata Øvrige'!G74*'Tillegg- Inndata Øvrige'!N74,-0.037*'Tillegg- Inndata Øvrige'!J74*'Tillegg- Inndata Øvrige'!N74))</f>
        <v>0</v>
      </c>
      <c r="X76" s="331" cm="1">
        <f t="array" ref="X76">IF(SUM(F76:J76,L76)=0, 0, SUM(F76:J76,L76)*(1+'Tillegg-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Y76" s="330" cm="1">
        <f t="array" ref="Y76">IF(X76=0, 0, SUM(K76,M76)*(1+'Tillegg-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Z76" s="336" cm="1">
        <f t="array" ref="Z76">IF(X76=0, 0, SUM(N76:P76)*(1+'Tillegg-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A76" s="336" cm="1">
        <f t="array" ref="AA76">IF(X76=0, 0, ('Tillegg- Inndata Øvrige'!G74+'Tillegg- Inndata Øvrige'!O74+'Tillegg- Inndata Øvrige'!S74)*(1+'Tillegg- Inndata Øvrige'!K74)*Transport_utslipp_til_avfallshånderting_per_kg*IF('Tillegg-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B76" s="334" cm="1">
        <f t="array" ref="AB76">IF(X76=0, 0,1.833*'Tillegg- Inndata Øvrige'!J74*('Tillegg- Inndata Øvrige'!X74*_xlfn.XLOOKUP(IF('Tillegg- Inndata Øvrige'!I74&lt;2,'Tillegg- Inndata Øvrige'!H74,'Tillegg- Inndata Øvrige'!H74*2), År_etter_ferdigstillelse, Faktorer!$Z$7:$Z$58))*('Tillegg- Inndata Øvrige'!L74*0.5+'Tillegg- Inndata Øvrige'!M74*0.8)*_xlfn.XLOOKUP(IF('Tillegg- Inndata Øvrige'!I74&lt;2,'Tillegg- Inndata Øvrige'!H74,'Tillegg- Inndata Øvrige'!H74*2), År_etter_ferdigstillelse,  IF(LEFT('Tillegg- Inndata Øvrige'!B74, 2)= 49, f_tid_x_f_tek_d_0_037, f_tid_x_f_tek_d_0_01)))</f>
        <v>0</v>
      </c>
      <c r="AC76" s="335">
        <f>IF(('Tillegg- Inndata Øvrige'!G74) = 0, 0,('Tillegg- Inndata Øvrige'!G74*((AG76+AI76)*Transport_utslipp_til_avfallshånderting_per_kg)+('Tillegg- Inndata Øvrige'!Z74*'ZERO-B Beregning'!D176)*IF('ZERO-B Beregning'!F177=0,'ZERO-B Beregning'!D177,'ZERO-B Beregning'!F177))*_xlfn.XLOOKUP(51, År_etter_ferdigstillelse, f_tid_x_f_tek_d_0_01))</f>
        <v>0</v>
      </c>
      <c r="AD76" s="337">
        <f>IF(('Tillegg- Inndata Øvrige'!G74) = 0, 0,1.833*('Tillegg- Inndata Øvrige'!G74*('Tillegg- Inndata Øvrige'!L74*0.5+'Tillegg- Inndata Øvrige'!M74*0.8)*AG76*_xlfn.XLOOKUP(51, År_etter_ferdigstillelse,  f_tid_x_f_tek_d_0_01)))</f>
        <v>0</v>
      </c>
      <c r="AE76" s="333" cm="1">
        <f t="array" ref="AE76">IF(('Tillegg- Inndata Øvrige'!G74) = 0, 0,-0.8*('Tillegg- Inndata Øvrige'!G74)*AH76*('Tillegg- Inndata Øvrige'!E74/'Tillegg- Inndata Øvrige'!G74)*_xlfn.XLOOKUP(51, År_etter_ferdigstillelse,  IF(LEFT('Tillegg- Inndata Øvrige'!B74, 2)= 49, f_tid_x_f_tek_d_0_037, f_tid_x_f_tek_d_0_01)))</f>
        <v>0</v>
      </c>
      <c r="AF76" s="338" cm="1">
        <f t="array" ref="AF76">IF(('Tillegg- Inndata Øvrige'!G74) = 0, 0,-0.1*('Tillegg- Inndata Øvrige'!G74)*AI76*('Tillegg- Inndata Øvrige'!E74/'Tillegg- Inndata Øvrige'!G74)*_xlfn.XLOOKUP(51, År_etter_ferdigstillelse,  IF(LEFT('Tillegg- Inndata Øvrige'!B74, 2)= 49, f_tid_x_f_tek_d_0_037, f_tid_x_f_tek_d_0_01)))</f>
        <v>0</v>
      </c>
      <c r="AG76" s="572">
        <f>IF(('Tillegg- Inndata Øvrige'!G74) = 0, 0,'Tillegg- Inndata Øvrige'!X74*Faktorer!$Z$58)</f>
        <v>0</v>
      </c>
      <c r="AH76" s="573">
        <f>IF(('Tillegg- Inndata Øvrige'!G74) = 0, 0,'Tillegg- Inndata Øvrige'!Z74+('Tillegg- Inndata Øvrige'!X74+'Tillegg- Inndata Øvrige'!Y74)*(1-Faktorer!$Z$58)*0.5)</f>
        <v>0</v>
      </c>
      <c r="AI76" s="574">
        <f>IF(('Tillegg- Inndata Øvrige'!G74) = 0, 0,'Tillegg- Inndata Øvrige'!AA74+('Tillegg- Inndata Øvrige'!X74+'Tillegg- Inndata Øvrige'!Y74)*(1-Faktorer!$Z$58)*0.5)</f>
        <v>0</v>
      </c>
      <c r="AK76" s="90">
        <f t="shared" si="1"/>
        <v>0</v>
      </c>
      <c r="AL76" s="91">
        <f>'Tillegg- Res. Det. Øvrige'!N76</f>
        <v>0</v>
      </c>
      <c r="AM76" s="91" t="str">
        <f>IF(F76=0,"",('Tillegg- Inndata Øvrige'!E76+'Tillegg- Inndata Øvrige'!F76)*ROUNDDOWN('Tillegg- Inndata Øvrige'!I76,0)*(1+'Tillegg- Inndata Øvrige'!K76))</f>
        <v/>
      </c>
      <c r="AO76" s="1"/>
    </row>
    <row r="77" spans="2:41">
      <c r="B77" s="327">
        <f>'Tillegg- Inndata Øvrige'!B75</f>
        <v>0</v>
      </c>
      <c r="C77" s="327">
        <f>'Tillegg- Inndata Øvrige'!C75</f>
        <v>0</v>
      </c>
      <c r="D77" s="327">
        <f>'Tillegg- Inndata Øvrige'!D75</f>
        <v>0</v>
      </c>
      <c r="E77" s="421" cm="1">
        <f t="array" ref="E77">SUM(IFERROR(F77:AF77,0))</f>
        <v>0</v>
      </c>
      <c r="F77" s="330">
        <f>'Tillegg- Inndata Øvrige'!E75</f>
        <v>0</v>
      </c>
      <c r="G77" s="330">
        <f>IF('Tillegg- Inndata Øvrige'!AB75="Ja", -0.8*$F77, 0)</f>
        <v>0</v>
      </c>
      <c r="H77" s="330">
        <f>IF('Tillegg- Inndata Øvrige'!AC75="Ja", -0.4*$F77, 0)</f>
        <v>0</v>
      </c>
      <c r="I77" s="330">
        <f>IF('Tillegg- Inndata Øvrige'!AD75="Ja", -1*$F77, 0)</f>
        <v>0</v>
      </c>
      <c r="J77" s="330">
        <f>'Tillegg- Inndata Øvrige'!O75*'Tillegg- Inndata Øvrige'!P75</f>
        <v>0</v>
      </c>
      <c r="K77" s="330">
        <f>MAX(-0.75*(SUM('Tillegg- Res. Det. Øvrige'!F77:J77)),-'Tillegg- Inndata Øvrige'!O75*'Tillegg- Inndata Øvrige'!Q75)</f>
        <v>0</v>
      </c>
      <c r="L77" s="330">
        <f>'Tillegg- Inndata Øvrige'!S75*'Tillegg- Inndata Øvrige'!T75</f>
        <v>0</v>
      </c>
      <c r="M77" s="330">
        <f>MAX(-0.75*(SUM('Tillegg- Res. Det. Øvrige'!F77:I77,L77)),-'Tillegg- Inndata Øvrige'!S75*'Tillegg- Inndata Øvrige'!U75)</f>
        <v>0</v>
      </c>
      <c r="N77" s="331">
        <f>'Tillegg- Inndata Øvrige'!F75</f>
        <v>0</v>
      </c>
      <c r="O77" s="330">
        <f>'Tillegg- Inndata Øvrige'!O75*'Tillegg- Inndata Øvrige'!R75</f>
        <v>0</v>
      </c>
      <c r="P77" s="332">
        <f>'Tillegg- Inndata Øvrige'!S75*'Tillegg- Inndata Øvrige'!V75</f>
        <v>0</v>
      </c>
      <c r="Q77" s="333">
        <f>SUM(F77:J77,L77)*'Tillegg- Inndata Øvrige'!K75</f>
        <v>0</v>
      </c>
      <c r="R77" s="333">
        <f>(K77+M77)*'Tillegg- Inndata Øvrige'!K75</f>
        <v>0</v>
      </c>
      <c r="S77" s="333">
        <f>SUM(N77:P77)*'Tillegg- Inndata Øvrige'!K75</f>
        <v>0</v>
      </c>
      <c r="T77" s="334">
        <f>('Tillegg- Inndata Øvrige'!G75+'Tillegg- Inndata Øvrige'!O75+'Tillegg- Inndata Øvrige'!S75)*'Tillegg- Inndata Øvrige'!K75*Transport_utslipp_til_avfallshånderting_per_kg</f>
        <v>0</v>
      </c>
      <c r="U77" s="330">
        <f>IF('Tillegg- Inndata Øvrige'!E75 = 0, 0, 1.833*'Tillegg- Inndata Øvrige'!X75*'Tillegg- Inndata Øvrige'!K75*('Tillegg- Inndata Øvrige'!G75*('Tillegg- Inndata Øvrige'!L75*0.5+'Tillegg- Inndata Øvrige'!M75*0.8) + (12/44)*('Tillegg- Inndata Øvrige'!O75*'Tillegg- Inndata Øvrige'!Q75+'Tillegg- Inndata Øvrige'!S75*'Tillegg- Inndata Øvrige'!U75)))</f>
        <v>0</v>
      </c>
      <c r="V77" s="335">
        <f>IF('Tillegg- Inndata Øvrige'!G75 = 0, 0,  MAX(-SUM(F77:J77,L77)*'Tillegg- Inndata Øvrige'!L75, -0.114*IF('Tillegg- Inndata Øvrige'!H75 &gt; 49, _xlfn.XLOOKUP(49, År_etter_ferdigstillelse, karbon_opptak_faktor), _xlfn.XLOOKUP('Tillegg- Inndata Øvrige'!H75, År_etter_ferdigstillelse, karbon_opptak_faktor))*'Tillegg- Inndata Øvrige'!G75*'Tillegg- Inndata Øvrige'!L75*0.5))</f>
        <v>0</v>
      </c>
      <c r="W77" s="333">
        <f>IF('Tillegg- Inndata Øvrige'!G75=0,0,IF('Tillegg- Inndata Øvrige'!H75&gt;49,-0.064*'Tillegg- Inndata Øvrige'!G75*'Tillegg- Inndata Øvrige'!N75,-0.037*'Tillegg- Inndata Øvrige'!J75*'Tillegg- Inndata Øvrige'!N75))</f>
        <v>0</v>
      </c>
      <c r="X77" s="331" cm="1">
        <f t="array" ref="X77">IF(SUM(F77:J77,L77)=0, 0, SUM(F77:J77,L77)*(1+'Tillegg-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Y77" s="330" cm="1">
        <f t="array" ref="Y77">IF(X77=0, 0, SUM(K77,M77)*(1+'Tillegg-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Z77" s="336" cm="1">
        <f t="array" ref="Z77">IF(X77=0, 0, SUM(N77:P77)*(1+'Tillegg-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A77" s="336" cm="1">
        <f t="array" ref="AA77">IF(X77=0, 0, ('Tillegg- Inndata Øvrige'!G75+'Tillegg- Inndata Øvrige'!O75+'Tillegg- Inndata Øvrige'!S75)*(1+'Tillegg- Inndata Øvrige'!K75)*Transport_utslipp_til_avfallshånderting_per_kg*IF('Tillegg-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B77" s="334" cm="1">
        <f t="array" ref="AB77">IF(X77=0, 0,1.833*'Tillegg- Inndata Øvrige'!J75*('Tillegg- Inndata Øvrige'!X75*_xlfn.XLOOKUP(IF('Tillegg- Inndata Øvrige'!I75&lt;2,'Tillegg- Inndata Øvrige'!H75,'Tillegg- Inndata Øvrige'!H75*2), År_etter_ferdigstillelse, Faktorer!$Z$7:$Z$58))*('Tillegg- Inndata Øvrige'!L75*0.5+'Tillegg- Inndata Øvrige'!M75*0.8)*_xlfn.XLOOKUP(IF('Tillegg- Inndata Øvrige'!I75&lt;2,'Tillegg- Inndata Øvrige'!H75,'Tillegg- Inndata Øvrige'!H75*2), År_etter_ferdigstillelse,  IF(LEFT('Tillegg- Inndata Øvrige'!B75, 2)= 49, f_tid_x_f_tek_d_0_037, f_tid_x_f_tek_d_0_01)))</f>
        <v>0</v>
      </c>
      <c r="AC77" s="335">
        <f>IF(('Tillegg- Inndata Øvrige'!G75) = 0, 0,('Tillegg- Inndata Øvrige'!G75*((AG77+AI77)*Transport_utslipp_til_avfallshånderting_per_kg)+('Tillegg- Inndata Øvrige'!Z75*'ZERO-B Beregning'!D177)*IF('ZERO-B Beregning'!F178=0,'ZERO-B Beregning'!D178,'ZERO-B Beregning'!F178))*_xlfn.XLOOKUP(51, År_etter_ferdigstillelse, f_tid_x_f_tek_d_0_01))</f>
        <v>0</v>
      </c>
      <c r="AD77" s="337">
        <f>IF(('Tillegg- Inndata Øvrige'!G75) = 0, 0,1.833*('Tillegg- Inndata Øvrige'!G75*('Tillegg- Inndata Øvrige'!L75*0.5+'Tillegg- Inndata Øvrige'!M75*0.8)*AG77*_xlfn.XLOOKUP(51, År_etter_ferdigstillelse,  f_tid_x_f_tek_d_0_01)))</f>
        <v>0</v>
      </c>
      <c r="AE77" s="333" cm="1">
        <f t="array" ref="AE77">IF(('Tillegg- Inndata Øvrige'!G75) = 0, 0,-0.8*('Tillegg- Inndata Øvrige'!G75)*AH77*('Tillegg- Inndata Øvrige'!E75/'Tillegg- Inndata Øvrige'!G75)*_xlfn.XLOOKUP(51, År_etter_ferdigstillelse,  IF(LEFT('Tillegg- Inndata Øvrige'!B75, 2)= 49, f_tid_x_f_tek_d_0_037, f_tid_x_f_tek_d_0_01)))</f>
        <v>0</v>
      </c>
      <c r="AF77" s="338" cm="1">
        <f t="array" ref="AF77">IF(('Tillegg- Inndata Øvrige'!G75) = 0, 0,-0.1*('Tillegg- Inndata Øvrige'!G75)*AI77*('Tillegg- Inndata Øvrige'!E75/'Tillegg- Inndata Øvrige'!G75)*_xlfn.XLOOKUP(51, År_etter_ferdigstillelse,  IF(LEFT('Tillegg- Inndata Øvrige'!B75, 2)= 49, f_tid_x_f_tek_d_0_037, f_tid_x_f_tek_d_0_01)))</f>
        <v>0</v>
      </c>
      <c r="AG77" s="572">
        <f>IF(('Tillegg- Inndata Øvrige'!G75) = 0, 0,'Tillegg- Inndata Øvrige'!X75*Faktorer!$Z$58)</f>
        <v>0</v>
      </c>
      <c r="AH77" s="573">
        <f>IF(('Tillegg- Inndata Øvrige'!G75) = 0, 0,'Tillegg- Inndata Øvrige'!Z75+('Tillegg- Inndata Øvrige'!X75+'Tillegg- Inndata Øvrige'!Y75)*(1-Faktorer!$Z$58)*0.5)</f>
        <v>0</v>
      </c>
      <c r="AI77" s="574">
        <f>IF(('Tillegg- Inndata Øvrige'!G75) = 0, 0,'Tillegg- Inndata Øvrige'!AA75+('Tillegg- Inndata Øvrige'!X75+'Tillegg- Inndata Øvrige'!Y75)*(1-Faktorer!$Z$58)*0.5)</f>
        <v>0</v>
      </c>
      <c r="AK77" s="90">
        <f t="shared" si="1"/>
        <v>0</v>
      </c>
      <c r="AL77" s="91">
        <f>'Tillegg- Res. Det. Øvrige'!N77</f>
        <v>0</v>
      </c>
      <c r="AM77" s="91" t="str">
        <f>IF(F77=0,"",('Tillegg- Inndata Øvrige'!E77+'Tillegg- Inndata Øvrige'!F77)*ROUNDDOWN('Tillegg- Inndata Øvrige'!I77,0)*(1+'Tillegg- Inndata Øvrige'!K77))</f>
        <v/>
      </c>
      <c r="AO77" s="1"/>
    </row>
    <row r="78" spans="2:41">
      <c r="B78" s="327">
        <f>'Tillegg- Inndata Øvrige'!B76</f>
        <v>0</v>
      </c>
      <c r="C78" s="327">
        <f>'Tillegg- Inndata Øvrige'!C76</f>
        <v>0</v>
      </c>
      <c r="D78" s="327">
        <f>'Tillegg- Inndata Øvrige'!D76</f>
        <v>0</v>
      </c>
      <c r="E78" s="421" cm="1">
        <f t="array" ref="E78">SUM(IFERROR(F78:AF78,0))</f>
        <v>0</v>
      </c>
      <c r="F78" s="330">
        <f>'Tillegg- Inndata Øvrige'!E76</f>
        <v>0</v>
      </c>
      <c r="G78" s="330">
        <f>IF('Tillegg- Inndata Øvrige'!AB76="Ja", -0.8*$F78, 0)</f>
        <v>0</v>
      </c>
      <c r="H78" s="330">
        <f>IF('Tillegg- Inndata Øvrige'!AC76="Ja", -0.4*$F78, 0)</f>
        <v>0</v>
      </c>
      <c r="I78" s="330">
        <f>IF('Tillegg- Inndata Øvrige'!AD76="Ja", -1*$F78, 0)</f>
        <v>0</v>
      </c>
      <c r="J78" s="330">
        <f>'Tillegg- Inndata Øvrige'!O76*'Tillegg- Inndata Øvrige'!P76</f>
        <v>0</v>
      </c>
      <c r="K78" s="330">
        <f>MAX(-0.75*(SUM('Tillegg- Res. Det. Øvrige'!F78:J78)),-'Tillegg- Inndata Øvrige'!O76*'Tillegg- Inndata Øvrige'!Q76)</f>
        <v>0</v>
      </c>
      <c r="L78" s="330">
        <f>'Tillegg- Inndata Øvrige'!S76*'Tillegg- Inndata Øvrige'!T76</f>
        <v>0</v>
      </c>
      <c r="M78" s="330">
        <f>MAX(-0.75*(SUM('Tillegg- Res. Det. Øvrige'!F78:I78,L78)),-'Tillegg- Inndata Øvrige'!S76*'Tillegg- Inndata Øvrige'!U76)</f>
        <v>0</v>
      </c>
      <c r="N78" s="331">
        <f>'Tillegg- Inndata Øvrige'!F76</f>
        <v>0</v>
      </c>
      <c r="O78" s="330">
        <f>'Tillegg- Inndata Øvrige'!O76*'Tillegg- Inndata Øvrige'!R76</f>
        <v>0</v>
      </c>
      <c r="P78" s="332">
        <f>'Tillegg- Inndata Øvrige'!S76*'Tillegg- Inndata Øvrige'!V76</f>
        <v>0</v>
      </c>
      <c r="Q78" s="333">
        <f>SUM(F78:J78,L78)*'Tillegg- Inndata Øvrige'!K76</f>
        <v>0</v>
      </c>
      <c r="R78" s="333">
        <f>(K78+M78)*'Tillegg- Inndata Øvrige'!K76</f>
        <v>0</v>
      </c>
      <c r="S78" s="333">
        <f>SUM(N78:P78)*'Tillegg- Inndata Øvrige'!K76</f>
        <v>0</v>
      </c>
      <c r="T78" s="334">
        <f>('Tillegg- Inndata Øvrige'!G76+'Tillegg- Inndata Øvrige'!O76+'Tillegg- Inndata Øvrige'!S76)*'Tillegg- Inndata Øvrige'!K76*Transport_utslipp_til_avfallshånderting_per_kg</f>
        <v>0</v>
      </c>
      <c r="U78" s="330">
        <f>IF('Tillegg- Inndata Øvrige'!E76 = 0, 0, 1.833*'Tillegg- Inndata Øvrige'!X76*'Tillegg- Inndata Øvrige'!K76*('Tillegg- Inndata Øvrige'!G76*('Tillegg- Inndata Øvrige'!L76*0.5+'Tillegg- Inndata Øvrige'!M76*0.8) + (12/44)*('Tillegg- Inndata Øvrige'!O76*'Tillegg- Inndata Øvrige'!Q76+'Tillegg- Inndata Øvrige'!S76*'Tillegg- Inndata Øvrige'!U76)))</f>
        <v>0</v>
      </c>
      <c r="V78" s="335">
        <f>IF('Tillegg- Inndata Øvrige'!G76 = 0, 0,  MAX(-SUM(F78:J78,L78)*'Tillegg- Inndata Øvrige'!L76, -0.114*IF('Tillegg- Inndata Øvrige'!H76 &gt; 49, _xlfn.XLOOKUP(49, År_etter_ferdigstillelse, karbon_opptak_faktor), _xlfn.XLOOKUP('Tillegg- Inndata Øvrige'!H76, År_etter_ferdigstillelse, karbon_opptak_faktor))*'Tillegg- Inndata Øvrige'!G76*'Tillegg- Inndata Øvrige'!L76*0.5))</f>
        <v>0</v>
      </c>
      <c r="W78" s="333">
        <f>IF('Tillegg- Inndata Øvrige'!G76=0,0,IF('Tillegg- Inndata Øvrige'!H76&gt;49,-0.064*'Tillegg- Inndata Øvrige'!G76*'Tillegg- Inndata Øvrige'!N76,-0.037*'Tillegg- Inndata Øvrige'!J76*'Tillegg- Inndata Øvrige'!N76))</f>
        <v>0</v>
      </c>
      <c r="X78" s="331" cm="1">
        <f t="array" ref="X78">IF(SUM(F78:J78,L78)=0, 0, SUM(F78:J78,L78)*(1+'Tillegg-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Y78" s="330" cm="1">
        <f t="array" ref="Y78">IF(X78=0, 0, SUM(K78,M78)*(1+'Tillegg-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Z78" s="336" cm="1">
        <f t="array" ref="Z78">IF(X78=0, 0, SUM(N78:P78)*(1+'Tillegg-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A78" s="336" cm="1">
        <f t="array" ref="AA78">IF(X78=0, 0, ('Tillegg- Inndata Øvrige'!G76+'Tillegg- Inndata Øvrige'!O76+'Tillegg- Inndata Øvrige'!S76)*(1+'Tillegg- Inndata Øvrige'!K76)*Transport_utslipp_til_avfallshånderting_per_kg*IF('Tillegg-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B78" s="334" cm="1">
        <f t="array" ref="AB78">IF(X78=0, 0,1.833*'Tillegg- Inndata Øvrige'!J76*('Tillegg- Inndata Øvrige'!X76*_xlfn.XLOOKUP(IF('Tillegg- Inndata Øvrige'!I76&lt;2,'Tillegg- Inndata Øvrige'!H76,'Tillegg- Inndata Øvrige'!H76*2), År_etter_ferdigstillelse, Faktorer!$Z$7:$Z$58))*('Tillegg- Inndata Øvrige'!L76*0.5+'Tillegg- Inndata Øvrige'!M76*0.8)*_xlfn.XLOOKUP(IF('Tillegg- Inndata Øvrige'!I76&lt;2,'Tillegg- Inndata Øvrige'!H76,'Tillegg- Inndata Øvrige'!H76*2), År_etter_ferdigstillelse,  IF(LEFT('Tillegg- Inndata Øvrige'!B76, 2)= 49, f_tid_x_f_tek_d_0_037, f_tid_x_f_tek_d_0_01)))</f>
        <v>0</v>
      </c>
      <c r="AC78" s="335">
        <f>IF(('Tillegg- Inndata Øvrige'!G76) = 0, 0,('Tillegg- Inndata Øvrige'!G76*((AG78+AI78)*Transport_utslipp_til_avfallshånderting_per_kg)+('Tillegg- Inndata Øvrige'!Z76*'ZERO-B Beregning'!D178)*IF('ZERO-B Beregning'!F179=0,'ZERO-B Beregning'!D179,'ZERO-B Beregning'!F179))*_xlfn.XLOOKUP(51, År_etter_ferdigstillelse, f_tid_x_f_tek_d_0_01))</f>
        <v>0</v>
      </c>
      <c r="AD78" s="337">
        <f>IF(('Tillegg- Inndata Øvrige'!G76) = 0, 0,1.833*('Tillegg- Inndata Øvrige'!G76*('Tillegg- Inndata Øvrige'!L76*0.5+'Tillegg- Inndata Øvrige'!M76*0.8)*AG78*_xlfn.XLOOKUP(51, År_etter_ferdigstillelse,  f_tid_x_f_tek_d_0_01)))</f>
        <v>0</v>
      </c>
      <c r="AE78" s="333" cm="1">
        <f t="array" ref="AE78">IF(('Tillegg- Inndata Øvrige'!G76) = 0, 0,-0.8*('Tillegg- Inndata Øvrige'!G76)*AH78*('Tillegg- Inndata Øvrige'!E76/'Tillegg- Inndata Øvrige'!G76)*_xlfn.XLOOKUP(51, År_etter_ferdigstillelse,  IF(LEFT('Tillegg- Inndata Øvrige'!B76, 2)= 49, f_tid_x_f_tek_d_0_037, f_tid_x_f_tek_d_0_01)))</f>
        <v>0</v>
      </c>
      <c r="AF78" s="338" cm="1">
        <f t="array" ref="AF78">IF(('Tillegg- Inndata Øvrige'!G76) = 0, 0,-0.1*('Tillegg- Inndata Øvrige'!G76)*AI78*('Tillegg- Inndata Øvrige'!E76/'Tillegg- Inndata Øvrige'!G76)*_xlfn.XLOOKUP(51, År_etter_ferdigstillelse,  IF(LEFT('Tillegg- Inndata Øvrige'!B76, 2)= 49, f_tid_x_f_tek_d_0_037, f_tid_x_f_tek_d_0_01)))</f>
        <v>0</v>
      </c>
      <c r="AG78" s="572">
        <f>IF(('Tillegg- Inndata Øvrige'!G76) = 0, 0,'Tillegg- Inndata Øvrige'!X76*Faktorer!$Z$58)</f>
        <v>0</v>
      </c>
      <c r="AH78" s="573">
        <f>IF(('Tillegg- Inndata Øvrige'!G76) = 0, 0,'Tillegg- Inndata Øvrige'!Z76+('Tillegg- Inndata Øvrige'!X76+'Tillegg- Inndata Øvrige'!Y76)*(1-Faktorer!$Z$58)*0.5)</f>
        <v>0</v>
      </c>
      <c r="AI78" s="574">
        <f>IF(('Tillegg- Inndata Øvrige'!G76) = 0, 0,'Tillegg- Inndata Øvrige'!AA76+('Tillegg- Inndata Øvrige'!X76+'Tillegg- Inndata Øvrige'!Y76)*(1-Faktorer!$Z$58)*0.5)</f>
        <v>0</v>
      </c>
      <c r="AK78" s="90">
        <f t="shared" si="1"/>
        <v>0</v>
      </c>
      <c r="AL78" s="91">
        <f>'Tillegg- Res. Det. Øvrige'!N78</f>
        <v>0</v>
      </c>
      <c r="AM78" s="91" t="str">
        <f>IF(F78=0,"",('Tillegg- Inndata Øvrige'!E78+'Tillegg- Inndata Øvrige'!F78)*ROUNDDOWN('Tillegg- Inndata Øvrige'!I78,0)*(1+'Tillegg- Inndata Øvrige'!K78))</f>
        <v/>
      </c>
      <c r="AO78" s="1"/>
    </row>
    <row r="79" spans="2:41">
      <c r="B79" s="327">
        <f>'Tillegg- Inndata Øvrige'!B77</f>
        <v>0</v>
      </c>
      <c r="C79" s="327">
        <f>'Tillegg- Inndata Øvrige'!C77</f>
        <v>0</v>
      </c>
      <c r="D79" s="327">
        <f>'Tillegg- Inndata Øvrige'!D77</f>
        <v>0</v>
      </c>
      <c r="E79" s="421" cm="1">
        <f t="array" ref="E79">SUM(IFERROR(F79:AF79,0))</f>
        <v>0</v>
      </c>
      <c r="F79" s="330">
        <f>'Tillegg- Inndata Øvrige'!E77</f>
        <v>0</v>
      </c>
      <c r="G79" s="330">
        <f>IF('Tillegg- Inndata Øvrige'!AB77="Ja", -0.8*$F79, 0)</f>
        <v>0</v>
      </c>
      <c r="H79" s="330">
        <f>IF('Tillegg- Inndata Øvrige'!AC77="Ja", -0.4*$F79, 0)</f>
        <v>0</v>
      </c>
      <c r="I79" s="330">
        <f>IF('Tillegg- Inndata Øvrige'!AD77="Ja", -1*$F79, 0)</f>
        <v>0</v>
      </c>
      <c r="J79" s="330">
        <f>'Tillegg- Inndata Øvrige'!O77*'Tillegg- Inndata Øvrige'!P77</f>
        <v>0</v>
      </c>
      <c r="K79" s="330">
        <f>MAX(-0.75*(SUM('Tillegg- Res. Det. Øvrige'!F79:J79)),-'Tillegg- Inndata Øvrige'!O77*'Tillegg- Inndata Øvrige'!Q77)</f>
        <v>0</v>
      </c>
      <c r="L79" s="330">
        <f>'Tillegg- Inndata Øvrige'!S77*'Tillegg- Inndata Øvrige'!T77</f>
        <v>0</v>
      </c>
      <c r="M79" s="330">
        <f>MAX(-0.75*(SUM('Tillegg- Res. Det. Øvrige'!F79:I79,L79)),-'Tillegg- Inndata Øvrige'!S77*'Tillegg- Inndata Øvrige'!U77)</f>
        <v>0</v>
      </c>
      <c r="N79" s="331">
        <f>'Tillegg- Inndata Øvrige'!F77</f>
        <v>0</v>
      </c>
      <c r="O79" s="330">
        <f>'Tillegg- Inndata Øvrige'!O77*'Tillegg- Inndata Øvrige'!R77</f>
        <v>0</v>
      </c>
      <c r="P79" s="332">
        <f>'Tillegg- Inndata Øvrige'!S77*'Tillegg- Inndata Øvrige'!V77</f>
        <v>0</v>
      </c>
      <c r="Q79" s="333">
        <f>SUM(F79:J79,L79)*'Tillegg- Inndata Øvrige'!K77</f>
        <v>0</v>
      </c>
      <c r="R79" s="333">
        <f>(K79+M79)*'Tillegg- Inndata Øvrige'!K77</f>
        <v>0</v>
      </c>
      <c r="S79" s="333">
        <f>SUM(N79:P79)*'Tillegg- Inndata Øvrige'!K77</f>
        <v>0</v>
      </c>
      <c r="T79" s="334">
        <f>('Tillegg- Inndata Øvrige'!G77+'Tillegg- Inndata Øvrige'!O77+'Tillegg- Inndata Øvrige'!S77)*'Tillegg- Inndata Øvrige'!K77*Transport_utslipp_til_avfallshånderting_per_kg</f>
        <v>0</v>
      </c>
      <c r="U79" s="330">
        <f>IF('Tillegg- Inndata Øvrige'!E77 = 0, 0, 1.833*'Tillegg- Inndata Øvrige'!X77*'Tillegg- Inndata Øvrige'!K77*('Tillegg- Inndata Øvrige'!G77*('Tillegg- Inndata Øvrige'!L77*0.5+'Tillegg- Inndata Øvrige'!M77*0.8) + (12/44)*('Tillegg- Inndata Øvrige'!O77*'Tillegg- Inndata Øvrige'!Q77+'Tillegg- Inndata Øvrige'!S77*'Tillegg- Inndata Øvrige'!U77)))</f>
        <v>0</v>
      </c>
      <c r="V79" s="335">
        <f>IF('Tillegg- Inndata Øvrige'!G77 = 0, 0,  MAX(-SUM(F79:J79,L79)*'Tillegg- Inndata Øvrige'!L77, -0.114*IF('Tillegg- Inndata Øvrige'!H77 &gt; 49, _xlfn.XLOOKUP(49, År_etter_ferdigstillelse, karbon_opptak_faktor), _xlfn.XLOOKUP('Tillegg- Inndata Øvrige'!H77, År_etter_ferdigstillelse, karbon_opptak_faktor))*'Tillegg- Inndata Øvrige'!G77*'Tillegg- Inndata Øvrige'!L77*0.5))</f>
        <v>0</v>
      </c>
      <c r="W79" s="333">
        <f>IF('Tillegg- Inndata Øvrige'!G77=0,0,IF('Tillegg- Inndata Øvrige'!H77&gt;49,-0.064*'Tillegg- Inndata Øvrige'!G77*'Tillegg- Inndata Øvrige'!N77,-0.037*'Tillegg- Inndata Øvrige'!J77*'Tillegg- Inndata Øvrige'!N77))</f>
        <v>0</v>
      </c>
      <c r="X79" s="331" cm="1">
        <f t="array" ref="X79">IF(SUM(F79:J79,L79)=0, 0, SUM(F79:J79,L79)*(1+'Tillegg-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Y79" s="330" cm="1">
        <f t="array" ref="Y79">IF(X79=0, 0, SUM(K79,M79)*(1+'Tillegg-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Z79" s="336" cm="1">
        <f t="array" ref="Z79">IF(X79=0, 0, SUM(N79:P79)*(1+'Tillegg-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A79" s="336" cm="1">
        <f t="array" ref="AA79">IF(X79=0, 0, ('Tillegg- Inndata Øvrige'!G77+'Tillegg- Inndata Øvrige'!O77+'Tillegg- Inndata Øvrige'!S77)*(1+'Tillegg- Inndata Øvrige'!K77)*Transport_utslipp_til_avfallshånderting_per_kg*IF('Tillegg-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B79" s="334" cm="1">
        <f t="array" ref="AB79">IF(X79=0, 0,1.833*'Tillegg- Inndata Øvrige'!J77*('Tillegg- Inndata Øvrige'!X77*_xlfn.XLOOKUP(IF('Tillegg- Inndata Øvrige'!I77&lt;2,'Tillegg- Inndata Øvrige'!H77,'Tillegg- Inndata Øvrige'!H77*2), År_etter_ferdigstillelse, Faktorer!$Z$7:$Z$58))*('Tillegg- Inndata Øvrige'!L77*0.5+'Tillegg- Inndata Øvrige'!M77*0.8)*_xlfn.XLOOKUP(IF('Tillegg- Inndata Øvrige'!I77&lt;2,'Tillegg- Inndata Øvrige'!H77,'Tillegg- Inndata Øvrige'!H77*2), År_etter_ferdigstillelse,  IF(LEFT('Tillegg- Inndata Øvrige'!B77, 2)= 49, f_tid_x_f_tek_d_0_037, f_tid_x_f_tek_d_0_01)))</f>
        <v>0</v>
      </c>
      <c r="AC79" s="335">
        <f>IF(('Tillegg- Inndata Øvrige'!G77) = 0, 0,('Tillegg- Inndata Øvrige'!G77*((AG79+AI79)*Transport_utslipp_til_avfallshånderting_per_kg)+('Tillegg- Inndata Øvrige'!Z77*'ZERO-B Beregning'!D179)*IF('ZERO-B Beregning'!F180=0,'ZERO-B Beregning'!D180,'ZERO-B Beregning'!F180))*_xlfn.XLOOKUP(51, År_etter_ferdigstillelse, f_tid_x_f_tek_d_0_01))</f>
        <v>0</v>
      </c>
      <c r="AD79" s="337">
        <f>IF(('Tillegg- Inndata Øvrige'!G77) = 0, 0,1.833*('Tillegg- Inndata Øvrige'!G77*('Tillegg- Inndata Øvrige'!L77*0.5+'Tillegg- Inndata Øvrige'!M77*0.8)*AG79*_xlfn.XLOOKUP(51, År_etter_ferdigstillelse,  f_tid_x_f_tek_d_0_01)))</f>
        <v>0</v>
      </c>
      <c r="AE79" s="333" cm="1">
        <f t="array" ref="AE79">IF(('Tillegg- Inndata Øvrige'!G77) = 0, 0,-0.8*('Tillegg- Inndata Øvrige'!G77)*AH79*('Tillegg- Inndata Øvrige'!E77/'Tillegg- Inndata Øvrige'!G77)*_xlfn.XLOOKUP(51, År_etter_ferdigstillelse,  IF(LEFT('Tillegg- Inndata Øvrige'!B77, 2)= 49, f_tid_x_f_tek_d_0_037, f_tid_x_f_tek_d_0_01)))</f>
        <v>0</v>
      </c>
      <c r="AF79" s="338" cm="1">
        <f t="array" ref="AF79">IF(('Tillegg- Inndata Øvrige'!G77) = 0, 0,-0.1*('Tillegg- Inndata Øvrige'!G77)*AI79*('Tillegg- Inndata Øvrige'!E77/'Tillegg- Inndata Øvrige'!G77)*_xlfn.XLOOKUP(51, År_etter_ferdigstillelse,  IF(LEFT('Tillegg- Inndata Øvrige'!B77, 2)= 49, f_tid_x_f_tek_d_0_037, f_tid_x_f_tek_d_0_01)))</f>
        <v>0</v>
      </c>
      <c r="AG79" s="572">
        <f>IF(('Tillegg- Inndata Øvrige'!G77) = 0, 0,'Tillegg- Inndata Øvrige'!X77*Faktorer!$Z$58)</f>
        <v>0</v>
      </c>
      <c r="AH79" s="573">
        <f>IF(('Tillegg- Inndata Øvrige'!G77) = 0, 0,'Tillegg- Inndata Øvrige'!Z77+('Tillegg- Inndata Øvrige'!X77+'Tillegg- Inndata Øvrige'!Y77)*(1-Faktorer!$Z$58)*0.5)</f>
        <v>0</v>
      </c>
      <c r="AI79" s="574">
        <f>IF(('Tillegg- Inndata Øvrige'!G77) = 0, 0,'Tillegg- Inndata Øvrige'!AA77+('Tillegg- Inndata Øvrige'!X77+'Tillegg- Inndata Øvrige'!Y77)*(1-Faktorer!$Z$58)*0.5)</f>
        <v>0</v>
      </c>
      <c r="AK79" s="90">
        <f t="shared" ref="AK79:AK142" si="2">F79</f>
        <v>0</v>
      </c>
      <c r="AL79" s="91">
        <f>'Tillegg- Res. Det. Øvrige'!N79</f>
        <v>0</v>
      </c>
      <c r="AM79" s="91" t="str">
        <f>IF(F79=0,"",('Tillegg- Inndata Øvrige'!E79+'Tillegg- Inndata Øvrige'!F79)*ROUNDDOWN('Tillegg- Inndata Øvrige'!I79,0)*(1+'Tillegg- Inndata Øvrige'!K79))</f>
        <v/>
      </c>
      <c r="AO79" s="1"/>
    </row>
    <row r="80" spans="2:41">
      <c r="B80" s="327">
        <f>'Tillegg- Inndata Øvrige'!B78</f>
        <v>0</v>
      </c>
      <c r="C80" s="327">
        <f>'Tillegg- Inndata Øvrige'!C78</f>
        <v>0</v>
      </c>
      <c r="D80" s="327">
        <f>'Tillegg- Inndata Øvrige'!D78</f>
        <v>0</v>
      </c>
      <c r="E80" s="421" cm="1">
        <f t="array" ref="E80">SUM(IFERROR(F80:AF80,0))</f>
        <v>0</v>
      </c>
      <c r="F80" s="330">
        <f>'Tillegg- Inndata Øvrige'!E78</f>
        <v>0</v>
      </c>
      <c r="G80" s="330">
        <f>IF('Tillegg- Inndata Øvrige'!AB78="Ja", -0.8*$F80, 0)</f>
        <v>0</v>
      </c>
      <c r="H80" s="330">
        <f>IF('Tillegg- Inndata Øvrige'!AC78="Ja", -0.4*$F80, 0)</f>
        <v>0</v>
      </c>
      <c r="I80" s="330">
        <f>IF('Tillegg- Inndata Øvrige'!AD78="Ja", -1*$F80, 0)</f>
        <v>0</v>
      </c>
      <c r="J80" s="330">
        <f>'Tillegg- Inndata Øvrige'!O78*'Tillegg- Inndata Øvrige'!P78</f>
        <v>0</v>
      </c>
      <c r="K80" s="330">
        <f>MAX(-0.75*(SUM('Tillegg- Res. Det. Øvrige'!F80:J80)),-'Tillegg- Inndata Øvrige'!O78*'Tillegg- Inndata Øvrige'!Q78)</f>
        <v>0</v>
      </c>
      <c r="L80" s="330">
        <f>'Tillegg- Inndata Øvrige'!S78*'Tillegg- Inndata Øvrige'!T78</f>
        <v>0</v>
      </c>
      <c r="M80" s="330">
        <f>MAX(-0.75*(SUM('Tillegg- Res. Det. Øvrige'!F80:I80,L80)),-'Tillegg- Inndata Øvrige'!S78*'Tillegg- Inndata Øvrige'!U78)</f>
        <v>0</v>
      </c>
      <c r="N80" s="331">
        <f>'Tillegg- Inndata Øvrige'!F78</f>
        <v>0</v>
      </c>
      <c r="O80" s="330">
        <f>'Tillegg- Inndata Øvrige'!O78*'Tillegg- Inndata Øvrige'!R78</f>
        <v>0</v>
      </c>
      <c r="P80" s="332">
        <f>'Tillegg- Inndata Øvrige'!S78*'Tillegg- Inndata Øvrige'!V78</f>
        <v>0</v>
      </c>
      <c r="Q80" s="333">
        <f>SUM(F80:J80,L80)*'Tillegg- Inndata Øvrige'!K78</f>
        <v>0</v>
      </c>
      <c r="R80" s="333">
        <f>(K80+M80)*'Tillegg- Inndata Øvrige'!K78</f>
        <v>0</v>
      </c>
      <c r="S80" s="333">
        <f>SUM(N80:P80)*'Tillegg- Inndata Øvrige'!K78</f>
        <v>0</v>
      </c>
      <c r="T80" s="334">
        <f>('Tillegg- Inndata Øvrige'!G78+'Tillegg- Inndata Øvrige'!O78+'Tillegg- Inndata Øvrige'!S78)*'Tillegg- Inndata Øvrige'!K78*Transport_utslipp_til_avfallshånderting_per_kg</f>
        <v>0</v>
      </c>
      <c r="U80" s="330">
        <f>IF('Tillegg- Inndata Øvrige'!E78 = 0, 0, 1.833*'Tillegg- Inndata Øvrige'!X78*'Tillegg- Inndata Øvrige'!K78*('Tillegg- Inndata Øvrige'!G78*('Tillegg- Inndata Øvrige'!L78*0.5+'Tillegg- Inndata Øvrige'!M78*0.8) + (12/44)*('Tillegg- Inndata Øvrige'!O78*'Tillegg- Inndata Øvrige'!Q78+'Tillegg- Inndata Øvrige'!S78*'Tillegg- Inndata Øvrige'!U78)))</f>
        <v>0</v>
      </c>
      <c r="V80" s="335">
        <f>IF('Tillegg- Inndata Øvrige'!G78 = 0, 0,  MAX(-SUM(F80:J80,L80)*'Tillegg- Inndata Øvrige'!L78, -0.114*IF('Tillegg- Inndata Øvrige'!H78 &gt; 49, _xlfn.XLOOKUP(49, År_etter_ferdigstillelse, karbon_opptak_faktor), _xlfn.XLOOKUP('Tillegg- Inndata Øvrige'!H78, År_etter_ferdigstillelse, karbon_opptak_faktor))*'Tillegg- Inndata Øvrige'!G78*'Tillegg- Inndata Øvrige'!L78*0.5))</f>
        <v>0</v>
      </c>
      <c r="W80" s="333">
        <f>IF('Tillegg- Inndata Øvrige'!G78=0,0,IF('Tillegg- Inndata Øvrige'!H78&gt;49,-0.064*'Tillegg- Inndata Øvrige'!G78*'Tillegg- Inndata Øvrige'!N78,-0.037*'Tillegg- Inndata Øvrige'!J78*'Tillegg- Inndata Øvrige'!N78))</f>
        <v>0</v>
      </c>
      <c r="X80" s="331" cm="1">
        <f t="array" ref="X80">IF(SUM(F80:J80,L80)=0, 0, SUM(F80:J80,L80)*(1+'Tillegg-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Y80" s="330" cm="1">
        <f t="array" ref="Y80">IF(X80=0, 0, SUM(K80,M80)*(1+'Tillegg-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Z80" s="336" cm="1">
        <f t="array" ref="Z80">IF(X80=0, 0, SUM(N80:P80)*(1+'Tillegg-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A80" s="336" cm="1">
        <f t="array" ref="AA80">IF(X80=0, 0, ('Tillegg- Inndata Øvrige'!G78+'Tillegg- Inndata Øvrige'!O78+'Tillegg- Inndata Øvrige'!S78)*(1+'Tillegg- Inndata Øvrige'!K78)*Transport_utslipp_til_avfallshånderting_per_kg*IF('Tillegg-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B80" s="334" cm="1">
        <f t="array" ref="AB80">IF(X80=0, 0,1.833*'Tillegg- Inndata Øvrige'!J78*('Tillegg- Inndata Øvrige'!X78*_xlfn.XLOOKUP(IF('Tillegg- Inndata Øvrige'!I78&lt;2,'Tillegg- Inndata Øvrige'!H78,'Tillegg- Inndata Øvrige'!H78*2), År_etter_ferdigstillelse, Faktorer!$Z$7:$Z$58))*('Tillegg- Inndata Øvrige'!L78*0.5+'Tillegg- Inndata Øvrige'!M78*0.8)*_xlfn.XLOOKUP(IF('Tillegg- Inndata Øvrige'!I78&lt;2,'Tillegg- Inndata Øvrige'!H78,'Tillegg- Inndata Øvrige'!H78*2), År_etter_ferdigstillelse,  IF(LEFT('Tillegg- Inndata Øvrige'!B78, 2)= 49, f_tid_x_f_tek_d_0_037, f_tid_x_f_tek_d_0_01)))</f>
        <v>0</v>
      </c>
      <c r="AC80" s="335">
        <f>IF(('Tillegg- Inndata Øvrige'!G78) = 0, 0,('Tillegg- Inndata Øvrige'!G78*((AG80+AI80)*Transport_utslipp_til_avfallshånderting_per_kg)+('Tillegg- Inndata Øvrige'!Z78*'ZERO-B Beregning'!D180)*IF('ZERO-B Beregning'!F181=0,'ZERO-B Beregning'!D181,'ZERO-B Beregning'!F181))*_xlfn.XLOOKUP(51, År_etter_ferdigstillelse, f_tid_x_f_tek_d_0_01))</f>
        <v>0</v>
      </c>
      <c r="AD80" s="337">
        <f>IF(('Tillegg- Inndata Øvrige'!G78) = 0, 0,1.833*('Tillegg- Inndata Øvrige'!G78*('Tillegg- Inndata Øvrige'!L78*0.5+'Tillegg- Inndata Øvrige'!M78*0.8)*AG80*_xlfn.XLOOKUP(51, År_etter_ferdigstillelse,  f_tid_x_f_tek_d_0_01)))</f>
        <v>0</v>
      </c>
      <c r="AE80" s="333" cm="1">
        <f t="array" ref="AE80">IF(('Tillegg- Inndata Øvrige'!G78) = 0, 0,-0.8*('Tillegg- Inndata Øvrige'!G78)*AH80*('Tillegg- Inndata Øvrige'!E78/'Tillegg- Inndata Øvrige'!G78)*_xlfn.XLOOKUP(51, År_etter_ferdigstillelse,  IF(LEFT('Tillegg- Inndata Øvrige'!B78, 2)= 49, f_tid_x_f_tek_d_0_037, f_tid_x_f_tek_d_0_01)))</f>
        <v>0</v>
      </c>
      <c r="AF80" s="338" cm="1">
        <f t="array" ref="AF80">IF(('Tillegg- Inndata Øvrige'!G78) = 0, 0,-0.1*('Tillegg- Inndata Øvrige'!G78)*AI80*('Tillegg- Inndata Øvrige'!E78/'Tillegg- Inndata Øvrige'!G78)*_xlfn.XLOOKUP(51, År_etter_ferdigstillelse,  IF(LEFT('Tillegg- Inndata Øvrige'!B78, 2)= 49, f_tid_x_f_tek_d_0_037, f_tid_x_f_tek_d_0_01)))</f>
        <v>0</v>
      </c>
      <c r="AG80" s="572">
        <f>IF(('Tillegg- Inndata Øvrige'!G78) = 0, 0,'Tillegg- Inndata Øvrige'!X78*Faktorer!$Z$58)</f>
        <v>0</v>
      </c>
      <c r="AH80" s="573">
        <f>IF(('Tillegg- Inndata Øvrige'!G78) = 0, 0,'Tillegg- Inndata Øvrige'!Z78+('Tillegg- Inndata Øvrige'!X78+'Tillegg- Inndata Øvrige'!Y78)*(1-Faktorer!$Z$58)*0.5)</f>
        <v>0</v>
      </c>
      <c r="AI80" s="574">
        <f>IF(('Tillegg- Inndata Øvrige'!G78) = 0, 0,'Tillegg- Inndata Øvrige'!AA78+('Tillegg- Inndata Øvrige'!X78+'Tillegg- Inndata Øvrige'!Y78)*(1-Faktorer!$Z$58)*0.5)</f>
        <v>0</v>
      </c>
      <c r="AK80" s="90">
        <f t="shared" si="2"/>
        <v>0</v>
      </c>
      <c r="AL80" s="91">
        <f>'Tillegg- Res. Det. Øvrige'!N80</f>
        <v>0</v>
      </c>
      <c r="AM80" s="91" t="str">
        <f>IF(F80=0,"",('Tillegg- Inndata Øvrige'!E80+'Tillegg- Inndata Øvrige'!F80)*ROUNDDOWN('Tillegg- Inndata Øvrige'!I80,0)*(1+'Tillegg- Inndata Øvrige'!K80))</f>
        <v/>
      </c>
      <c r="AO80" s="1"/>
    </row>
    <row r="81" spans="2:41">
      <c r="B81" s="327">
        <f>'Tillegg- Inndata Øvrige'!B79</f>
        <v>0</v>
      </c>
      <c r="C81" s="327">
        <f>'Tillegg- Inndata Øvrige'!C79</f>
        <v>0</v>
      </c>
      <c r="D81" s="327">
        <f>'Tillegg- Inndata Øvrige'!D79</f>
        <v>0</v>
      </c>
      <c r="E81" s="421" cm="1">
        <f t="array" ref="E81">SUM(IFERROR(F81:AF81,0))</f>
        <v>0</v>
      </c>
      <c r="F81" s="330">
        <f>'Tillegg- Inndata Øvrige'!E79</f>
        <v>0</v>
      </c>
      <c r="G81" s="330">
        <f>IF('Tillegg- Inndata Øvrige'!AB79="Ja", -0.8*$F81, 0)</f>
        <v>0</v>
      </c>
      <c r="H81" s="330">
        <f>IF('Tillegg- Inndata Øvrige'!AC79="Ja", -0.4*$F81, 0)</f>
        <v>0</v>
      </c>
      <c r="I81" s="330">
        <f>IF('Tillegg- Inndata Øvrige'!AD79="Ja", -1*$F81, 0)</f>
        <v>0</v>
      </c>
      <c r="J81" s="330">
        <f>'Tillegg- Inndata Øvrige'!O79*'Tillegg- Inndata Øvrige'!P79</f>
        <v>0</v>
      </c>
      <c r="K81" s="330">
        <f>MAX(-0.75*(SUM('Tillegg- Res. Det. Øvrige'!F81:J81)),-'Tillegg- Inndata Øvrige'!O79*'Tillegg- Inndata Øvrige'!Q79)</f>
        <v>0</v>
      </c>
      <c r="L81" s="330">
        <f>'Tillegg- Inndata Øvrige'!S79*'Tillegg- Inndata Øvrige'!T79</f>
        <v>0</v>
      </c>
      <c r="M81" s="330">
        <f>MAX(-0.75*(SUM('Tillegg- Res. Det. Øvrige'!F81:I81,L81)),-'Tillegg- Inndata Øvrige'!S79*'Tillegg- Inndata Øvrige'!U79)</f>
        <v>0</v>
      </c>
      <c r="N81" s="331">
        <f>'Tillegg- Inndata Øvrige'!F79</f>
        <v>0</v>
      </c>
      <c r="O81" s="330">
        <f>'Tillegg- Inndata Øvrige'!O79*'Tillegg- Inndata Øvrige'!R79</f>
        <v>0</v>
      </c>
      <c r="P81" s="332">
        <f>'Tillegg- Inndata Øvrige'!S79*'Tillegg- Inndata Øvrige'!V79</f>
        <v>0</v>
      </c>
      <c r="Q81" s="333">
        <f>SUM(F81:J81,L81)*'Tillegg- Inndata Øvrige'!K79</f>
        <v>0</v>
      </c>
      <c r="R81" s="333">
        <f>(K81+M81)*'Tillegg- Inndata Øvrige'!K79</f>
        <v>0</v>
      </c>
      <c r="S81" s="333">
        <f>SUM(N81:P81)*'Tillegg- Inndata Øvrige'!K79</f>
        <v>0</v>
      </c>
      <c r="T81" s="334">
        <f>('Tillegg- Inndata Øvrige'!G79+'Tillegg- Inndata Øvrige'!O79+'Tillegg- Inndata Øvrige'!S79)*'Tillegg- Inndata Øvrige'!K79*Transport_utslipp_til_avfallshånderting_per_kg</f>
        <v>0</v>
      </c>
      <c r="U81" s="330">
        <f>IF('Tillegg- Inndata Øvrige'!E79 = 0, 0, 1.833*'Tillegg- Inndata Øvrige'!X79*'Tillegg- Inndata Øvrige'!K79*('Tillegg- Inndata Øvrige'!G79*('Tillegg- Inndata Øvrige'!L79*0.5+'Tillegg- Inndata Øvrige'!M79*0.8) + (12/44)*('Tillegg- Inndata Øvrige'!O79*'Tillegg- Inndata Øvrige'!Q79+'Tillegg- Inndata Øvrige'!S79*'Tillegg- Inndata Øvrige'!U79)))</f>
        <v>0</v>
      </c>
      <c r="V81" s="335">
        <f>IF('Tillegg- Inndata Øvrige'!G79 = 0, 0,  MAX(-SUM(F81:J81,L81)*'Tillegg- Inndata Øvrige'!L79, -0.114*IF('Tillegg- Inndata Øvrige'!H79 &gt; 49, _xlfn.XLOOKUP(49, År_etter_ferdigstillelse, karbon_opptak_faktor), _xlfn.XLOOKUP('Tillegg- Inndata Øvrige'!H79, År_etter_ferdigstillelse, karbon_opptak_faktor))*'Tillegg- Inndata Øvrige'!G79*'Tillegg- Inndata Øvrige'!L79*0.5))</f>
        <v>0</v>
      </c>
      <c r="W81" s="333">
        <f>IF('Tillegg- Inndata Øvrige'!G79=0,0,IF('Tillegg- Inndata Øvrige'!H79&gt;49,-0.064*'Tillegg- Inndata Øvrige'!G79*'Tillegg- Inndata Øvrige'!N79,-0.037*'Tillegg- Inndata Øvrige'!J79*'Tillegg- Inndata Øvrige'!N79))</f>
        <v>0</v>
      </c>
      <c r="X81" s="331" cm="1">
        <f t="array" ref="X81">IF(SUM(F81:J81,L81)=0, 0, SUM(F81:J81,L81)*(1+'Tillegg-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Y81" s="330" cm="1">
        <f t="array" ref="Y81">IF(X81=0, 0, SUM(K81,M81)*(1+'Tillegg-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Z81" s="336" cm="1">
        <f t="array" ref="Z81">IF(X81=0, 0, SUM(N81:P81)*(1+'Tillegg-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A81" s="336" cm="1">
        <f t="array" ref="AA81">IF(X81=0, 0, ('Tillegg- Inndata Øvrige'!G79+'Tillegg- Inndata Øvrige'!O79+'Tillegg- Inndata Øvrige'!S79)*(1+'Tillegg- Inndata Øvrige'!K79)*Transport_utslipp_til_avfallshånderting_per_kg*IF('Tillegg-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B81" s="334" cm="1">
        <f t="array" ref="AB81">IF(X81=0, 0,1.833*'Tillegg- Inndata Øvrige'!J79*('Tillegg- Inndata Øvrige'!X79*_xlfn.XLOOKUP(IF('Tillegg- Inndata Øvrige'!I79&lt;2,'Tillegg- Inndata Øvrige'!H79,'Tillegg- Inndata Øvrige'!H79*2), År_etter_ferdigstillelse, Faktorer!$Z$7:$Z$58))*('Tillegg- Inndata Øvrige'!L79*0.5+'Tillegg- Inndata Øvrige'!M79*0.8)*_xlfn.XLOOKUP(IF('Tillegg- Inndata Øvrige'!I79&lt;2,'Tillegg- Inndata Øvrige'!H79,'Tillegg- Inndata Øvrige'!H79*2), År_etter_ferdigstillelse,  IF(LEFT('Tillegg- Inndata Øvrige'!B79, 2)= 49, f_tid_x_f_tek_d_0_037, f_tid_x_f_tek_d_0_01)))</f>
        <v>0</v>
      </c>
      <c r="AC81" s="335">
        <f>IF(('Tillegg- Inndata Øvrige'!G79) = 0, 0,('Tillegg- Inndata Øvrige'!G79*((AG81+AI81)*Transport_utslipp_til_avfallshånderting_per_kg)+('Tillegg- Inndata Øvrige'!Z79*'ZERO-B Beregning'!D181)*IF('ZERO-B Beregning'!F182=0,'ZERO-B Beregning'!D182,'ZERO-B Beregning'!F182))*_xlfn.XLOOKUP(51, År_etter_ferdigstillelse, f_tid_x_f_tek_d_0_01))</f>
        <v>0</v>
      </c>
      <c r="AD81" s="337">
        <f>IF(('Tillegg- Inndata Øvrige'!G79) = 0, 0,1.833*('Tillegg- Inndata Øvrige'!G79*('Tillegg- Inndata Øvrige'!L79*0.5+'Tillegg- Inndata Øvrige'!M79*0.8)*AG81*_xlfn.XLOOKUP(51, År_etter_ferdigstillelse,  f_tid_x_f_tek_d_0_01)))</f>
        <v>0</v>
      </c>
      <c r="AE81" s="333" cm="1">
        <f t="array" ref="AE81">IF(('Tillegg- Inndata Øvrige'!G79) = 0, 0,-0.8*('Tillegg- Inndata Øvrige'!G79)*AH81*('Tillegg- Inndata Øvrige'!E79/'Tillegg- Inndata Øvrige'!G79)*_xlfn.XLOOKUP(51, År_etter_ferdigstillelse,  IF(LEFT('Tillegg- Inndata Øvrige'!B79, 2)= 49, f_tid_x_f_tek_d_0_037, f_tid_x_f_tek_d_0_01)))</f>
        <v>0</v>
      </c>
      <c r="AF81" s="338" cm="1">
        <f t="array" ref="AF81">IF(('Tillegg- Inndata Øvrige'!G79) = 0, 0,-0.1*('Tillegg- Inndata Øvrige'!G79)*AI81*('Tillegg- Inndata Øvrige'!E79/'Tillegg- Inndata Øvrige'!G79)*_xlfn.XLOOKUP(51, År_etter_ferdigstillelse,  IF(LEFT('Tillegg- Inndata Øvrige'!B79, 2)= 49, f_tid_x_f_tek_d_0_037, f_tid_x_f_tek_d_0_01)))</f>
        <v>0</v>
      </c>
      <c r="AG81" s="572">
        <f>IF(('Tillegg- Inndata Øvrige'!G79) = 0, 0,'Tillegg- Inndata Øvrige'!X79*Faktorer!$Z$58)</f>
        <v>0</v>
      </c>
      <c r="AH81" s="573">
        <f>IF(('Tillegg- Inndata Øvrige'!G79) = 0, 0,'Tillegg- Inndata Øvrige'!Z79+('Tillegg- Inndata Øvrige'!X79+'Tillegg- Inndata Øvrige'!Y79)*(1-Faktorer!$Z$58)*0.5)</f>
        <v>0</v>
      </c>
      <c r="AI81" s="574">
        <f>IF(('Tillegg- Inndata Øvrige'!G79) = 0, 0,'Tillegg- Inndata Øvrige'!AA79+('Tillegg- Inndata Øvrige'!X79+'Tillegg- Inndata Øvrige'!Y79)*(1-Faktorer!$Z$58)*0.5)</f>
        <v>0</v>
      </c>
      <c r="AK81" s="90">
        <f t="shared" si="2"/>
        <v>0</v>
      </c>
      <c r="AL81" s="91">
        <f>'Tillegg- Res. Det. Øvrige'!N81</f>
        <v>0</v>
      </c>
      <c r="AM81" s="91" t="str">
        <f>IF(F81=0,"",('Tillegg- Inndata Øvrige'!E81+'Tillegg- Inndata Øvrige'!F81)*ROUNDDOWN('Tillegg- Inndata Øvrige'!I81,0)*(1+'Tillegg- Inndata Øvrige'!K81))</f>
        <v/>
      </c>
      <c r="AO81" s="1"/>
    </row>
    <row r="82" spans="2:41">
      <c r="B82" s="327">
        <f>'Tillegg- Inndata Øvrige'!B80</f>
        <v>0</v>
      </c>
      <c r="C82" s="327">
        <f>'Tillegg- Inndata Øvrige'!C80</f>
        <v>0</v>
      </c>
      <c r="D82" s="327">
        <f>'Tillegg- Inndata Øvrige'!D80</f>
        <v>0</v>
      </c>
      <c r="E82" s="421" cm="1">
        <f t="array" ref="E82">SUM(IFERROR(F82:AF82,0))</f>
        <v>0</v>
      </c>
      <c r="F82" s="330">
        <f>'Tillegg- Inndata Øvrige'!E80</f>
        <v>0</v>
      </c>
      <c r="G82" s="330">
        <f>IF('Tillegg- Inndata Øvrige'!AB80="Ja", -0.8*$F82, 0)</f>
        <v>0</v>
      </c>
      <c r="H82" s="330">
        <f>IF('Tillegg- Inndata Øvrige'!AC80="Ja", -0.4*$F82, 0)</f>
        <v>0</v>
      </c>
      <c r="I82" s="330">
        <f>IF('Tillegg- Inndata Øvrige'!AD80="Ja", -1*$F82, 0)</f>
        <v>0</v>
      </c>
      <c r="J82" s="330">
        <f>'Tillegg- Inndata Øvrige'!O80*'Tillegg- Inndata Øvrige'!P80</f>
        <v>0</v>
      </c>
      <c r="K82" s="330">
        <f>MAX(-0.75*(SUM('Tillegg- Res. Det. Øvrige'!F82:J82)),-'Tillegg- Inndata Øvrige'!O80*'Tillegg- Inndata Øvrige'!Q80)</f>
        <v>0</v>
      </c>
      <c r="L82" s="330">
        <f>'Tillegg- Inndata Øvrige'!S80*'Tillegg- Inndata Øvrige'!T80</f>
        <v>0</v>
      </c>
      <c r="M82" s="330">
        <f>MAX(-0.75*(SUM('Tillegg- Res. Det. Øvrige'!F82:I82,L82)),-'Tillegg- Inndata Øvrige'!S80*'Tillegg- Inndata Øvrige'!U80)</f>
        <v>0</v>
      </c>
      <c r="N82" s="331">
        <f>'Tillegg- Inndata Øvrige'!F80</f>
        <v>0</v>
      </c>
      <c r="O82" s="330">
        <f>'Tillegg- Inndata Øvrige'!O80*'Tillegg- Inndata Øvrige'!R80</f>
        <v>0</v>
      </c>
      <c r="P82" s="332">
        <f>'Tillegg- Inndata Øvrige'!S80*'Tillegg- Inndata Øvrige'!V80</f>
        <v>0</v>
      </c>
      <c r="Q82" s="333">
        <f>SUM(F82:J82,L82)*'Tillegg- Inndata Øvrige'!K80</f>
        <v>0</v>
      </c>
      <c r="R82" s="333">
        <f>(K82+M82)*'Tillegg- Inndata Øvrige'!K80</f>
        <v>0</v>
      </c>
      <c r="S82" s="333">
        <f>SUM(N82:P82)*'Tillegg- Inndata Øvrige'!K80</f>
        <v>0</v>
      </c>
      <c r="T82" s="334">
        <f>('Tillegg- Inndata Øvrige'!G80+'Tillegg- Inndata Øvrige'!O80+'Tillegg- Inndata Øvrige'!S80)*'Tillegg- Inndata Øvrige'!K80*Transport_utslipp_til_avfallshånderting_per_kg</f>
        <v>0</v>
      </c>
      <c r="U82" s="330">
        <f>IF('Tillegg- Inndata Øvrige'!E80 = 0, 0, 1.833*'Tillegg- Inndata Øvrige'!X80*'Tillegg- Inndata Øvrige'!K80*('Tillegg- Inndata Øvrige'!G80*('Tillegg- Inndata Øvrige'!L80*0.5+'Tillegg- Inndata Øvrige'!M80*0.8) + (12/44)*('Tillegg- Inndata Øvrige'!O80*'Tillegg- Inndata Øvrige'!Q80+'Tillegg- Inndata Øvrige'!S80*'Tillegg- Inndata Øvrige'!U80)))</f>
        <v>0</v>
      </c>
      <c r="V82" s="335">
        <f>IF('Tillegg- Inndata Øvrige'!G80 = 0, 0,  MAX(-SUM(F82:J82,L82)*'Tillegg- Inndata Øvrige'!L80, -0.114*IF('Tillegg- Inndata Øvrige'!H80 &gt; 49, _xlfn.XLOOKUP(49, År_etter_ferdigstillelse, karbon_opptak_faktor), _xlfn.XLOOKUP('Tillegg- Inndata Øvrige'!H80, År_etter_ferdigstillelse, karbon_opptak_faktor))*'Tillegg- Inndata Øvrige'!G80*'Tillegg- Inndata Øvrige'!L80*0.5))</f>
        <v>0</v>
      </c>
      <c r="W82" s="333">
        <f>IF('Tillegg- Inndata Øvrige'!G80=0,0,IF('Tillegg- Inndata Øvrige'!H80&gt;49,-0.064*'Tillegg- Inndata Øvrige'!G80*'Tillegg- Inndata Øvrige'!N80,-0.037*'Tillegg- Inndata Øvrige'!J80*'Tillegg- Inndata Øvrige'!N80))</f>
        <v>0</v>
      </c>
      <c r="X82" s="331" cm="1">
        <f t="array" ref="X82">IF(SUM(F82:J82,L82)=0, 0, SUM(F82:J82,L82)*(1+'Tillegg-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Y82" s="330" cm="1">
        <f t="array" ref="Y82">IF(X82=0, 0, SUM(K82,M82)*(1+'Tillegg-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Z82" s="336" cm="1">
        <f t="array" ref="Z82">IF(X82=0, 0, SUM(N82:P82)*(1+'Tillegg-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A82" s="336" cm="1">
        <f t="array" ref="AA82">IF(X82=0, 0, ('Tillegg- Inndata Øvrige'!G80+'Tillegg- Inndata Øvrige'!O80+'Tillegg- Inndata Øvrige'!S80)*(1+'Tillegg- Inndata Øvrige'!K80)*Transport_utslipp_til_avfallshånderting_per_kg*IF('Tillegg-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B82" s="334" cm="1">
        <f t="array" ref="AB82">IF(X82=0, 0,1.833*'Tillegg- Inndata Øvrige'!J80*('Tillegg- Inndata Øvrige'!X80*_xlfn.XLOOKUP(IF('Tillegg- Inndata Øvrige'!I80&lt;2,'Tillegg- Inndata Øvrige'!H80,'Tillegg- Inndata Øvrige'!H80*2), År_etter_ferdigstillelse, Faktorer!$Z$7:$Z$58))*('Tillegg- Inndata Øvrige'!L80*0.5+'Tillegg- Inndata Øvrige'!M80*0.8)*_xlfn.XLOOKUP(IF('Tillegg- Inndata Øvrige'!I80&lt;2,'Tillegg- Inndata Øvrige'!H80,'Tillegg- Inndata Øvrige'!H80*2), År_etter_ferdigstillelse,  IF(LEFT('Tillegg- Inndata Øvrige'!B80, 2)= 49, f_tid_x_f_tek_d_0_037, f_tid_x_f_tek_d_0_01)))</f>
        <v>0</v>
      </c>
      <c r="AC82" s="335">
        <f>IF(('Tillegg- Inndata Øvrige'!G80) = 0, 0,('Tillegg- Inndata Øvrige'!G80*((AG82+AI82)*Transport_utslipp_til_avfallshånderting_per_kg)+('Tillegg- Inndata Øvrige'!Z80*'ZERO-B Beregning'!D182)*IF('ZERO-B Beregning'!F183=0,'ZERO-B Beregning'!D183,'ZERO-B Beregning'!F183))*_xlfn.XLOOKUP(51, År_etter_ferdigstillelse, f_tid_x_f_tek_d_0_01))</f>
        <v>0</v>
      </c>
      <c r="AD82" s="337">
        <f>IF(('Tillegg- Inndata Øvrige'!G80) = 0, 0,1.833*('Tillegg- Inndata Øvrige'!G80*('Tillegg- Inndata Øvrige'!L80*0.5+'Tillegg- Inndata Øvrige'!M80*0.8)*AG82*_xlfn.XLOOKUP(51, År_etter_ferdigstillelse,  f_tid_x_f_tek_d_0_01)))</f>
        <v>0</v>
      </c>
      <c r="AE82" s="333" cm="1">
        <f t="array" ref="AE82">IF(('Tillegg- Inndata Øvrige'!G80) = 0, 0,-0.8*('Tillegg- Inndata Øvrige'!G80)*AH82*('Tillegg- Inndata Øvrige'!E80/'Tillegg- Inndata Øvrige'!G80)*_xlfn.XLOOKUP(51, År_etter_ferdigstillelse,  IF(LEFT('Tillegg- Inndata Øvrige'!B80, 2)= 49, f_tid_x_f_tek_d_0_037, f_tid_x_f_tek_d_0_01)))</f>
        <v>0</v>
      </c>
      <c r="AF82" s="338" cm="1">
        <f t="array" ref="AF82">IF(('Tillegg- Inndata Øvrige'!G80) = 0, 0,-0.1*('Tillegg- Inndata Øvrige'!G80)*AI82*('Tillegg- Inndata Øvrige'!E80/'Tillegg- Inndata Øvrige'!G80)*_xlfn.XLOOKUP(51, År_etter_ferdigstillelse,  IF(LEFT('Tillegg- Inndata Øvrige'!B80, 2)= 49, f_tid_x_f_tek_d_0_037, f_tid_x_f_tek_d_0_01)))</f>
        <v>0</v>
      </c>
      <c r="AG82" s="572">
        <f>IF(('Tillegg- Inndata Øvrige'!G80) = 0, 0,'Tillegg- Inndata Øvrige'!X80*Faktorer!$Z$58)</f>
        <v>0</v>
      </c>
      <c r="AH82" s="573">
        <f>IF(('Tillegg- Inndata Øvrige'!G80) = 0, 0,'Tillegg- Inndata Øvrige'!Z80+('Tillegg- Inndata Øvrige'!X80+'Tillegg- Inndata Øvrige'!Y80)*(1-Faktorer!$Z$58)*0.5)</f>
        <v>0</v>
      </c>
      <c r="AI82" s="574">
        <f>IF(('Tillegg- Inndata Øvrige'!G80) = 0, 0,'Tillegg- Inndata Øvrige'!AA80+('Tillegg- Inndata Øvrige'!X80+'Tillegg- Inndata Øvrige'!Y80)*(1-Faktorer!$Z$58)*0.5)</f>
        <v>0</v>
      </c>
      <c r="AK82" s="90">
        <f t="shared" si="2"/>
        <v>0</v>
      </c>
      <c r="AL82" s="91">
        <f>'Tillegg- Res. Det. Øvrige'!N82</f>
        <v>0</v>
      </c>
      <c r="AM82" s="91" t="str">
        <f>IF(F82=0,"",('Tillegg- Inndata Øvrige'!E82+'Tillegg- Inndata Øvrige'!F82)*ROUNDDOWN('Tillegg- Inndata Øvrige'!I82,0)*(1+'Tillegg- Inndata Øvrige'!K82))</f>
        <v/>
      </c>
      <c r="AO82" s="1"/>
    </row>
    <row r="83" spans="2:41">
      <c r="B83" s="327">
        <f>'Tillegg- Inndata Øvrige'!B81</f>
        <v>0</v>
      </c>
      <c r="C83" s="327">
        <f>'Tillegg- Inndata Øvrige'!C81</f>
        <v>0</v>
      </c>
      <c r="D83" s="327">
        <f>'Tillegg- Inndata Øvrige'!D81</f>
        <v>0</v>
      </c>
      <c r="E83" s="421" cm="1">
        <f t="array" ref="E83">SUM(IFERROR(F83:AF83,0))</f>
        <v>0</v>
      </c>
      <c r="F83" s="330">
        <f>'Tillegg- Inndata Øvrige'!E81</f>
        <v>0</v>
      </c>
      <c r="G83" s="330">
        <f>IF('Tillegg- Inndata Øvrige'!AB81="Ja", -0.8*$F83, 0)</f>
        <v>0</v>
      </c>
      <c r="H83" s="330">
        <f>IF('Tillegg- Inndata Øvrige'!AC81="Ja", -0.4*$F83, 0)</f>
        <v>0</v>
      </c>
      <c r="I83" s="330">
        <f>IF('Tillegg- Inndata Øvrige'!AD81="Ja", -1*$F83, 0)</f>
        <v>0</v>
      </c>
      <c r="J83" s="330">
        <f>'Tillegg- Inndata Øvrige'!O81*'Tillegg- Inndata Øvrige'!P81</f>
        <v>0</v>
      </c>
      <c r="K83" s="330">
        <f>MAX(-0.75*(SUM('Tillegg- Res. Det. Øvrige'!F83:J83)),-'Tillegg- Inndata Øvrige'!O81*'Tillegg- Inndata Øvrige'!Q81)</f>
        <v>0</v>
      </c>
      <c r="L83" s="330">
        <f>'Tillegg- Inndata Øvrige'!S81*'Tillegg- Inndata Øvrige'!T81</f>
        <v>0</v>
      </c>
      <c r="M83" s="330">
        <f>MAX(-0.75*(SUM('Tillegg- Res. Det. Øvrige'!F83:I83,L83)),-'Tillegg- Inndata Øvrige'!S81*'Tillegg- Inndata Øvrige'!U81)</f>
        <v>0</v>
      </c>
      <c r="N83" s="331">
        <f>'Tillegg- Inndata Øvrige'!F81</f>
        <v>0</v>
      </c>
      <c r="O83" s="330">
        <f>'Tillegg- Inndata Øvrige'!O81*'Tillegg- Inndata Øvrige'!R81</f>
        <v>0</v>
      </c>
      <c r="P83" s="332">
        <f>'Tillegg- Inndata Øvrige'!S81*'Tillegg- Inndata Øvrige'!V81</f>
        <v>0</v>
      </c>
      <c r="Q83" s="333">
        <f>SUM(F83:J83,L83)*'Tillegg- Inndata Øvrige'!K81</f>
        <v>0</v>
      </c>
      <c r="R83" s="333">
        <f>(K83+M83)*'Tillegg- Inndata Øvrige'!K81</f>
        <v>0</v>
      </c>
      <c r="S83" s="333">
        <f>SUM(N83:P83)*'Tillegg- Inndata Øvrige'!K81</f>
        <v>0</v>
      </c>
      <c r="T83" s="334">
        <f>('Tillegg- Inndata Øvrige'!G81+'Tillegg- Inndata Øvrige'!O81+'Tillegg- Inndata Øvrige'!S81)*'Tillegg- Inndata Øvrige'!K81*Transport_utslipp_til_avfallshånderting_per_kg</f>
        <v>0</v>
      </c>
      <c r="U83" s="330">
        <f>IF('Tillegg- Inndata Øvrige'!E81 = 0, 0, 1.833*'Tillegg- Inndata Øvrige'!X81*'Tillegg- Inndata Øvrige'!K81*('Tillegg- Inndata Øvrige'!G81*('Tillegg- Inndata Øvrige'!L81*0.5+'Tillegg- Inndata Øvrige'!M81*0.8) + (12/44)*('Tillegg- Inndata Øvrige'!O81*'Tillegg- Inndata Øvrige'!Q81+'Tillegg- Inndata Øvrige'!S81*'Tillegg- Inndata Øvrige'!U81)))</f>
        <v>0</v>
      </c>
      <c r="V83" s="335">
        <f>IF('Tillegg- Inndata Øvrige'!G81 = 0, 0,  MAX(-SUM(F83:J83,L83)*'Tillegg- Inndata Øvrige'!L81, -0.114*IF('Tillegg- Inndata Øvrige'!H81 &gt; 49, _xlfn.XLOOKUP(49, År_etter_ferdigstillelse, karbon_opptak_faktor), _xlfn.XLOOKUP('Tillegg- Inndata Øvrige'!H81, År_etter_ferdigstillelse, karbon_opptak_faktor))*'Tillegg- Inndata Øvrige'!G81*'Tillegg- Inndata Øvrige'!L81*0.5))</f>
        <v>0</v>
      </c>
      <c r="W83" s="333">
        <f>IF('Tillegg- Inndata Øvrige'!G81=0,0,IF('Tillegg- Inndata Øvrige'!H81&gt;49,-0.064*'Tillegg- Inndata Øvrige'!G81*'Tillegg- Inndata Øvrige'!N81,-0.037*'Tillegg- Inndata Øvrige'!J81*'Tillegg- Inndata Øvrige'!N81))</f>
        <v>0</v>
      </c>
      <c r="X83" s="331" cm="1">
        <f t="array" ref="X83">IF(SUM(F83:J83,L83)=0, 0, SUM(F83:J83,L83)*(1+'Tillegg-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Y83" s="330" cm="1">
        <f t="array" ref="Y83">IF(X83=0, 0, SUM(K83,M83)*(1+'Tillegg-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Z83" s="336" cm="1">
        <f t="array" ref="Z83">IF(X83=0, 0, SUM(N83:P83)*(1+'Tillegg-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A83" s="336" cm="1">
        <f t="array" ref="AA83">IF(X83=0, 0, ('Tillegg- Inndata Øvrige'!G81+'Tillegg- Inndata Øvrige'!O81+'Tillegg- Inndata Øvrige'!S81)*(1+'Tillegg- Inndata Øvrige'!K81)*Transport_utslipp_til_avfallshånderting_per_kg*IF('Tillegg-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B83" s="334" cm="1">
        <f t="array" ref="AB83">IF(X83=0, 0,1.833*'Tillegg- Inndata Øvrige'!J81*('Tillegg- Inndata Øvrige'!X81*_xlfn.XLOOKUP(IF('Tillegg- Inndata Øvrige'!I81&lt;2,'Tillegg- Inndata Øvrige'!H81,'Tillegg- Inndata Øvrige'!H81*2), År_etter_ferdigstillelse, Faktorer!$Z$7:$Z$58))*('Tillegg- Inndata Øvrige'!L81*0.5+'Tillegg- Inndata Øvrige'!M81*0.8)*_xlfn.XLOOKUP(IF('Tillegg- Inndata Øvrige'!I81&lt;2,'Tillegg- Inndata Øvrige'!H81,'Tillegg- Inndata Øvrige'!H81*2), År_etter_ferdigstillelse,  IF(LEFT('Tillegg- Inndata Øvrige'!B81, 2)= 49, f_tid_x_f_tek_d_0_037, f_tid_x_f_tek_d_0_01)))</f>
        <v>0</v>
      </c>
      <c r="AC83" s="335">
        <f>IF(('Tillegg- Inndata Øvrige'!G81) = 0, 0,('Tillegg- Inndata Øvrige'!G81*((AG83+AI83)*Transport_utslipp_til_avfallshånderting_per_kg)+('Tillegg- Inndata Øvrige'!Z81*'ZERO-B Beregning'!D183)*IF('ZERO-B Beregning'!F184=0,'ZERO-B Beregning'!D184,'ZERO-B Beregning'!F184))*_xlfn.XLOOKUP(51, År_etter_ferdigstillelse, f_tid_x_f_tek_d_0_01))</f>
        <v>0</v>
      </c>
      <c r="AD83" s="337">
        <f>IF(('Tillegg- Inndata Øvrige'!G81) = 0, 0,1.833*('Tillegg- Inndata Øvrige'!G81*('Tillegg- Inndata Øvrige'!L81*0.5+'Tillegg- Inndata Øvrige'!M81*0.8)*AG83*_xlfn.XLOOKUP(51, År_etter_ferdigstillelse,  f_tid_x_f_tek_d_0_01)))</f>
        <v>0</v>
      </c>
      <c r="AE83" s="333" cm="1">
        <f t="array" ref="AE83">IF(('Tillegg- Inndata Øvrige'!G81) = 0, 0,-0.8*('Tillegg- Inndata Øvrige'!G81)*AH83*('Tillegg- Inndata Øvrige'!E81/'Tillegg- Inndata Øvrige'!G81)*_xlfn.XLOOKUP(51, År_etter_ferdigstillelse,  IF(LEFT('Tillegg- Inndata Øvrige'!B81, 2)= 49, f_tid_x_f_tek_d_0_037, f_tid_x_f_tek_d_0_01)))</f>
        <v>0</v>
      </c>
      <c r="AF83" s="338" cm="1">
        <f t="array" ref="AF83">IF(('Tillegg- Inndata Øvrige'!G81) = 0, 0,-0.1*('Tillegg- Inndata Øvrige'!G81)*AI83*('Tillegg- Inndata Øvrige'!E81/'Tillegg- Inndata Øvrige'!G81)*_xlfn.XLOOKUP(51, År_etter_ferdigstillelse,  IF(LEFT('Tillegg- Inndata Øvrige'!B81, 2)= 49, f_tid_x_f_tek_d_0_037, f_tid_x_f_tek_d_0_01)))</f>
        <v>0</v>
      </c>
      <c r="AG83" s="572">
        <f>IF(('Tillegg- Inndata Øvrige'!G81) = 0, 0,'Tillegg- Inndata Øvrige'!X81*Faktorer!$Z$58)</f>
        <v>0</v>
      </c>
      <c r="AH83" s="573">
        <f>IF(('Tillegg- Inndata Øvrige'!G81) = 0, 0,'Tillegg- Inndata Øvrige'!Z81+('Tillegg- Inndata Øvrige'!X81+'Tillegg- Inndata Øvrige'!Y81)*(1-Faktorer!$Z$58)*0.5)</f>
        <v>0</v>
      </c>
      <c r="AI83" s="574">
        <f>IF(('Tillegg- Inndata Øvrige'!G81) = 0, 0,'Tillegg- Inndata Øvrige'!AA81+('Tillegg- Inndata Øvrige'!X81+'Tillegg- Inndata Øvrige'!Y81)*(1-Faktorer!$Z$58)*0.5)</f>
        <v>0</v>
      </c>
      <c r="AK83" s="90">
        <f t="shared" si="2"/>
        <v>0</v>
      </c>
      <c r="AL83" s="91">
        <f>'Tillegg- Res. Det. Øvrige'!N83</f>
        <v>0</v>
      </c>
      <c r="AM83" s="91" t="str">
        <f>IF(F83=0,"",('Tillegg- Inndata Øvrige'!E83+'Tillegg- Inndata Øvrige'!F83)*ROUNDDOWN('Tillegg- Inndata Øvrige'!I83,0)*(1+'Tillegg- Inndata Øvrige'!K83))</f>
        <v/>
      </c>
      <c r="AO83" s="1"/>
    </row>
    <row r="84" spans="2:41">
      <c r="B84" s="327">
        <f>'Tillegg- Inndata Øvrige'!B82</f>
        <v>0</v>
      </c>
      <c r="C84" s="327">
        <f>'Tillegg- Inndata Øvrige'!C82</f>
        <v>0</v>
      </c>
      <c r="D84" s="327">
        <f>'Tillegg- Inndata Øvrige'!D82</f>
        <v>0</v>
      </c>
      <c r="E84" s="421" cm="1">
        <f t="array" ref="E84">SUM(IFERROR(F84:AF84,0))</f>
        <v>0</v>
      </c>
      <c r="F84" s="330">
        <f>'Tillegg- Inndata Øvrige'!E82</f>
        <v>0</v>
      </c>
      <c r="G84" s="330">
        <f>IF('Tillegg- Inndata Øvrige'!AB82="Ja", -0.8*$F84, 0)</f>
        <v>0</v>
      </c>
      <c r="H84" s="330">
        <f>IF('Tillegg- Inndata Øvrige'!AC82="Ja", -0.4*$F84, 0)</f>
        <v>0</v>
      </c>
      <c r="I84" s="330">
        <f>IF('Tillegg- Inndata Øvrige'!AD82="Ja", -1*$F84, 0)</f>
        <v>0</v>
      </c>
      <c r="J84" s="330">
        <f>'Tillegg- Inndata Øvrige'!O82*'Tillegg- Inndata Øvrige'!P82</f>
        <v>0</v>
      </c>
      <c r="K84" s="330">
        <f>MAX(-0.75*(SUM('Tillegg- Res. Det. Øvrige'!F84:J84)),-'Tillegg- Inndata Øvrige'!O82*'Tillegg- Inndata Øvrige'!Q82)</f>
        <v>0</v>
      </c>
      <c r="L84" s="330">
        <f>'Tillegg- Inndata Øvrige'!S82*'Tillegg- Inndata Øvrige'!T82</f>
        <v>0</v>
      </c>
      <c r="M84" s="330">
        <f>MAX(-0.75*(SUM('Tillegg- Res. Det. Øvrige'!F84:I84,L84)),-'Tillegg- Inndata Øvrige'!S82*'Tillegg- Inndata Øvrige'!U82)</f>
        <v>0</v>
      </c>
      <c r="N84" s="331">
        <f>'Tillegg- Inndata Øvrige'!F82</f>
        <v>0</v>
      </c>
      <c r="O84" s="330">
        <f>'Tillegg- Inndata Øvrige'!O82*'Tillegg- Inndata Øvrige'!R82</f>
        <v>0</v>
      </c>
      <c r="P84" s="332">
        <f>'Tillegg- Inndata Øvrige'!S82*'Tillegg- Inndata Øvrige'!V82</f>
        <v>0</v>
      </c>
      <c r="Q84" s="333">
        <f>SUM(F84:J84,L84)*'Tillegg- Inndata Øvrige'!K82</f>
        <v>0</v>
      </c>
      <c r="R84" s="333">
        <f>(K84+M84)*'Tillegg- Inndata Øvrige'!K82</f>
        <v>0</v>
      </c>
      <c r="S84" s="333">
        <f>SUM(N84:P84)*'Tillegg- Inndata Øvrige'!K82</f>
        <v>0</v>
      </c>
      <c r="T84" s="334">
        <f>('Tillegg- Inndata Øvrige'!G82+'Tillegg- Inndata Øvrige'!O82+'Tillegg- Inndata Øvrige'!S82)*'Tillegg- Inndata Øvrige'!K82*Transport_utslipp_til_avfallshånderting_per_kg</f>
        <v>0</v>
      </c>
      <c r="U84" s="330">
        <f>IF('Tillegg- Inndata Øvrige'!E82 = 0, 0, 1.833*'Tillegg- Inndata Øvrige'!X82*'Tillegg- Inndata Øvrige'!K82*('Tillegg- Inndata Øvrige'!G82*('Tillegg- Inndata Øvrige'!L82*0.5+'Tillegg- Inndata Øvrige'!M82*0.8) + (12/44)*('Tillegg- Inndata Øvrige'!O82*'Tillegg- Inndata Øvrige'!Q82+'Tillegg- Inndata Øvrige'!S82*'Tillegg- Inndata Øvrige'!U82)))</f>
        <v>0</v>
      </c>
      <c r="V84" s="335">
        <f>IF('Tillegg- Inndata Øvrige'!G82 = 0, 0,  MAX(-SUM(F84:J84,L84)*'Tillegg- Inndata Øvrige'!L82, -0.114*IF('Tillegg- Inndata Øvrige'!H82 &gt; 49, _xlfn.XLOOKUP(49, År_etter_ferdigstillelse, karbon_opptak_faktor), _xlfn.XLOOKUP('Tillegg- Inndata Øvrige'!H82, År_etter_ferdigstillelse, karbon_opptak_faktor))*'Tillegg- Inndata Øvrige'!G82*'Tillegg- Inndata Øvrige'!L82*0.5))</f>
        <v>0</v>
      </c>
      <c r="W84" s="333">
        <f>IF('Tillegg- Inndata Øvrige'!G82=0,0,IF('Tillegg- Inndata Øvrige'!H82&gt;49,-0.064*'Tillegg- Inndata Øvrige'!G82*'Tillegg- Inndata Øvrige'!N82,-0.037*'Tillegg- Inndata Øvrige'!J82*'Tillegg- Inndata Øvrige'!N82))</f>
        <v>0</v>
      </c>
      <c r="X84" s="331" cm="1">
        <f t="array" ref="X84">IF(SUM(F84:J84,L84)=0, 0, SUM(F84:J84,L84)*(1+'Tillegg-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Y84" s="330" cm="1">
        <f t="array" ref="Y84">IF(X84=0, 0, SUM(K84,M84)*(1+'Tillegg-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Z84" s="336" cm="1">
        <f t="array" ref="Z84">IF(X84=0, 0, SUM(N84:P84)*(1+'Tillegg-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A84" s="336" cm="1">
        <f t="array" ref="AA84">IF(X84=0, 0, ('Tillegg- Inndata Øvrige'!G82+'Tillegg- Inndata Øvrige'!O82+'Tillegg- Inndata Øvrige'!S82)*(1+'Tillegg- Inndata Øvrige'!K82)*Transport_utslipp_til_avfallshånderting_per_kg*IF('Tillegg-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B84" s="334" cm="1">
        <f t="array" ref="AB84">IF(X84=0, 0,1.833*'Tillegg- Inndata Øvrige'!J82*('Tillegg- Inndata Øvrige'!X82*_xlfn.XLOOKUP(IF('Tillegg- Inndata Øvrige'!I82&lt;2,'Tillegg- Inndata Øvrige'!H82,'Tillegg- Inndata Øvrige'!H82*2), År_etter_ferdigstillelse, Faktorer!$Z$7:$Z$58))*('Tillegg- Inndata Øvrige'!L82*0.5+'Tillegg- Inndata Øvrige'!M82*0.8)*_xlfn.XLOOKUP(IF('Tillegg- Inndata Øvrige'!I82&lt;2,'Tillegg- Inndata Øvrige'!H82,'Tillegg- Inndata Øvrige'!H82*2), År_etter_ferdigstillelse,  IF(LEFT('Tillegg- Inndata Øvrige'!B82, 2)= 49, f_tid_x_f_tek_d_0_037, f_tid_x_f_tek_d_0_01)))</f>
        <v>0</v>
      </c>
      <c r="AC84" s="335">
        <f>IF(('Tillegg- Inndata Øvrige'!G82) = 0, 0,('Tillegg- Inndata Øvrige'!G82*((AG84+AI84)*Transport_utslipp_til_avfallshånderting_per_kg)+('Tillegg- Inndata Øvrige'!Z82*'ZERO-B Beregning'!D184)*IF('ZERO-B Beregning'!F185=0,'ZERO-B Beregning'!D185,'ZERO-B Beregning'!F185))*_xlfn.XLOOKUP(51, År_etter_ferdigstillelse, f_tid_x_f_tek_d_0_01))</f>
        <v>0</v>
      </c>
      <c r="AD84" s="337">
        <f>IF(('Tillegg- Inndata Øvrige'!G82) = 0, 0,1.833*('Tillegg- Inndata Øvrige'!G82*('Tillegg- Inndata Øvrige'!L82*0.5+'Tillegg- Inndata Øvrige'!M82*0.8)*AG84*_xlfn.XLOOKUP(51, År_etter_ferdigstillelse,  f_tid_x_f_tek_d_0_01)))</f>
        <v>0</v>
      </c>
      <c r="AE84" s="333" cm="1">
        <f t="array" ref="AE84">IF(('Tillegg- Inndata Øvrige'!G82) = 0, 0,-0.8*('Tillegg- Inndata Øvrige'!G82)*AH84*('Tillegg- Inndata Øvrige'!E82/'Tillegg- Inndata Øvrige'!G82)*_xlfn.XLOOKUP(51, År_etter_ferdigstillelse,  IF(LEFT('Tillegg- Inndata Øvrige'!B82, 2)= 49, f_tid_x_f_tek_d_0_037, f_tid_x_f_tek_d_0_01)))</f>
        <v>0</v>
      </c>
      <c r="AF84" s="338" cm="1">
        <f t="array" ref="AF84">IF(('Tillegg- Inndata Øvrige'!G82) = 0, 0,-0.1*('Tillegg- Inndata Øvrige'!G82)*AI84*('Tillegg- Inndata Øvrige'!E82/'Tillegg- Inndata Øvrige'!G82)*_xlfn.XLOOKUP(51, År_etter_ferdigstillelse,  IF(LEFT('Tillegg- Inndata Øvrige'!B82, 2)= 49, f_tid_x_f_tek_d_0_037, f_tid_x_f_tek_d_0_01)))</f>
        <v>0</v>
      </c>
      <c r="AG84" s="572">
        <f>IF(('Tillegg- Inndata Øvrige'!G82) = 0, 0,'Tillegg- Inndata Øvrige'!X82*Faktorer!$Z$58)</f>
        <v>0</v>
      </c>
      <c r="AH84" s="573">
        <f>IF(('Tillegg- Inndata Øvrige'!G82) = 0, 0,'Tillegg- Inndata Øvrige'!Z82+('Tillegg- Inndata Øvrige'!X82+'Tillegg- Inndata Øvrige'!Y82)*(1-Faktorer!$Z$58)*0.5)</f>
        <v>0</v>
      </c>
      <c r="AI84" s="574">
        <f>IF(('Tillegg- Inndata Øvrige'!G82) = 0, 0,'Tillegg- Inndata Øvrige'!AA82+('Tillegg- Inndata Øvrige'!X82+'Tillegg- Inndata Øvrige'!Y82)*(1-Faktorer!$Z$58)*0.5)</f>
        <v>0</v>
      </c>
      <c r="AK84" s="90">
        <f t="shared" si="2"/>
        <v>0</v>
      </c>
      <c r="AL84" s="91">
        <f>'Tillegg- Res. Det. Øvrige'!N84</f>
        <v>0</v>
      </c>
      <c r="AM84" s="91" t="str">
        <f>IF(F84=0,"",('Tillegg- Inndata Øvrige'!E84+'Tillegg- Inndata Øvrige'!F84)*ROUNDDOWN('Tillegg- Inndata Øvrige'!I84,0)*(1+'Tillegg- Inndata Øvrige'!K84))</f>
        <v/>
      </c>
      <c r="AO84" s="1"/>
    </row>
    <row r="85" spans="2:41">
      <c r="B85" s="327">
        <f>'Tillegg- Inndata Øvrige'!B83</f>
        <v>0</v>
      </c>
      <c r="C85" s="327">
        <f>'Tillegg- Inndata Øvrige'!C83</f>
        <v>0</v>
      </c>
      <c r="D85" s="327">
        <f>'Tillegg- Inndata Øvrige'!D83</f>
        <v>0</v>
      </c>
      <c r="E85" s="421" cm="1">
        <f t="array" ref="E85">SUM(IFERROR(F85:AF85,0))</f>
        <v>0</v>
      </c>
      <c r="F85" s="330">
        <f>'Tillegg- Inndata Øvrige'!E83</f>
        <v>0</v>
      </c>
      <c r="G85" s="330">
        <f>IF('Tillegg- Inndata Øvrige'!AB83="Ja", -0.8*$F85, 0)</f>
        <v>0</v>
      </c>
      <c r="H85" s="330">
        <f>IF('Tillegg- Inndata Øvrige'!AC83="Ja", -0.4*$F85, 0)</f>
        <v>0</v>
      </c>
      <c r="I85" s="330">
        <f>IF('Tillegg- Inndata Øvrige'!AD83="Ja", -1*$F85, 0)</f>
        <v>0</v>
      </c>
      <c r="J85" s="330">
        <f>'Tillegg- Inndata Øvrige'!O83*'Tillegg- Inndata Øvrige'!P83</f>
        <v>0</v>
      </c>
      <c r="K85" s="330">
        <f>MAX(-0.75*(SUM('Tillegg- Res. Det. Øvrige'!F85:J85)),-'Tillegg- Inndata Øvrige'!O83*'Tillegg- Inndata Øvrige'!Q83)</f>
        <v>0</v>
      </c>
      <c r="L85" s="330">
        <f>'Tillegg- Inndata Øvrige'!S83*'Tillegg- Inndata Øvrige'!T83</f>
        <v>0</v>
      </c>
      <c r="M85" s="330">
        <f>MAX(-0.75*(SUM('Tillegg- Res. Det. Øvrige'!F85:I85,L85)),-'Tillegg- Inndata Øvrige'!S83*'Tillegg- Inndata Øvrige'!U83)</f>
        <v>0</v>
      </c>
      <c r="N85" s="331">
        <f>'Tillegg- Inndata Øvrige'!F83</f>
        <v>0</v>
      </c>
      <c r="O85" s="330">
        <f>'Tillegg- Inndata Øvrige'!O83*'Tillegg- Inndata Øvrige'!R83</f>
        <v>0</v>
      </c>
      <c r="P85" s="332">
        <f>'Tillegg- Inndata Øvrige'!S83*'Tillegg- Inndata Øvrige'!V83</f>
        <v>0</v>
      </c>
      <c r="Q85" s="333">
        <f>SUM(F85:J85,L85)*'Tillegg- Inndata Øvrige'!K83</f>
        <v>0</v>
      </c>
      <c r="R85" s="333">
        <f>(K85+M85)*'Tillegg- Inndata Øvrige'!K83</f>
        <v>0</v>
      </c>
      <c r="S85" s="333">
        <f>SUM(N85:P85)*'Tillegg- Inndata Øvrige'!K83</f>
        <v>0</v>
      </c>
      <c r="T85" s="334">
        <f>('Tillegg- Inndata Øvrige'!G83+'Tillegg- Inndata Øvrige'!O83+'Tillegg- Inndata Øvrige'!S83)*'Tillegg- Inndata Øvrige'!K83*Transport_utslipp_til_avfallshånderting_per_kg</f>
        <v>0</v>
      </c>
      <c r="U85" s="330">
        <f>IF('Tillegg- Inndata Øvrige'!E83 = 0, 0, 1.833*'Tillegg- Inndata Øvrige'!X83*'Tillegg- Inndata Øvrige'!K83*('Tillegg- Inndata Øvrige'!G83*('Tillegg- Inndata Øvrige'!L83*0.5+'Tillegg- Inndata Øvrige'!M83*0.8) + (12/44)*('Tillegg- Inndata Øvrige'!O83*'Tillegg- Inndata Øvrige'!Q83+'Tillegg- Inndata Øvrige'!S83*'Tillegg- Inndata Øvrige'!U83)))</f>
        <v>0</v>
      </c>
      <c r="V85" s="335">
        <f>IF('Tillegg- Inndata Øvrige'!G83 = 0, 0,  MAX(-SUM(F85:J85,L85)*'Tillegg- Inndata Øvrige'!L83, -0.114*IF('Tillegg- Inndata Øvrige'!H83 &gt; 49, _xlfn.XLOOKUP(49, År_etter_ferdigstillelse, karbon_opptak_faktor), _xlfn.XLOOKUP('Tillegg- Inndata Øvrige'!H83, År_etter_ferdigstillelse, karbon_opptak_faktor))*'Tillegg- Inndata Øvrige'!G83*'Tillegg- Inndata Øvrige'!L83*0.5))</f>
        <v>0</v>
      </c>
      <c r="W85" s="333">
        <f>IF('Tillegg- Inndata Øvrige'!G83=0,0,IF('Tillegg- Inndata Øvrige'!H83&gt;49,-0.064*'Tillegg- Inndata Øvrige'!G83*'Tillegg- Inndata Øvrige'!N83,-0.037*'Tillegg- Inndata Øvrige'!J83*'Tillegg- Inndata Øvrige'!N83))</f>
        <v>0</v>
      </c>
      <c r="X85" s="331" cm="1">
        <f t="array" ref="X85">IF(SUM(F85:J85,L85)=0, 0, SUM(F85:J85,L85)*(1+'Tillegg-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Y85" s="330" cm="1">
        <f t="array" ref="Y85">IF(X85=0, 0, SUM(K85,M85)*(1+'Tillegg-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Z85" s="336" cm="1">
        <f t="array" ref="Z85">IF(X85=0, 0, SUM(N85:P85)*(1+'Tillegg-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A85" s="336" cm="1">
        <f t="array" ref="AA85">IF(X85=0, 0, ('Tillegg- Inndata Øvrige'!G83+'Tillegg- Inndata Øvrige'!O83+'Tillegg- Inndata Øvrige'!S83)*(1+'Tillegg- Inndata Øvrige'!K83)*Transport_utslipp_til_avfallshånderting_per_kg*IF('Tillegg-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B85" s="334" cm="1">
        <f t="array" ref="AB85">IF(X85=0, 0,1.833*'Tillegg- Inndata Øvrige'!J83*('Tillegg- Inndata Øvrige'!X83*_xlfn.XLOOKUP(IF('Tillegg- Inndata Øvrige'!I83&lt;2,'Tillegg- Inndata Øvrige'!H83,'Tillegg- Inndata Øvrige'!H83*2), År_etter_ferdigstillelse, Faktorer!$Z$7:$Z$58))*('Tillegg- Inndata Øvrige'!L83*0.5+'Tillegg- Inndata Øvrige'!M83*0.8)*_xlfn.XLOOKUP(IF('Tillegg- Inndata Øvrige'!I83&lt;2,'Tillegg- Inndata Øvrige'!H83,'Tillegg- Inndata Øvrige'!H83*2), År_etter_ferdigstillelse,  IF(LEFT('Tillegg- Inndata Øvrige'!B83, 2)= 49, f_tid_x_f_tek_d_0_037, f_tid_x_f_tek_d_0_01)))</f>
        <v>0</v>
      </c>
      <c r="AC85" s="335">
        <f>IF(('Tillegg- Inndata Øvrige'!G83) = 0, 0,('Tillegg- Inndata Øvrige'!G83*((AG85+AI85)*Transport_utslipp_til_avfallshånderting_per_kg)+('Tillegg- Inndata Øvrige'!Z83*'ZERO-B Beregning'!D185)*IF('ZERO-B Beregning'!F186=0,'ZERO-B Beregning'!D186,'ZERO-B Beregning'!F186))*_xlfn.XLOOKUP(51, År_etter_ferdigstillelse, f_tid_x_f_tek_d_0_01))</f>
        <v>0</v>
      </c>
      <c r="AD85" s="337">
        <f>IF(('Tillegg- Inndata Øvrige'!G83) = 0, 0,1.833*('Tillegg- Inndata Øvrige'!G83*('Tillegg- Inndata Øvrige'!L83*0.5+'Tillegg- Inndata Øvrige'!M83*0.8)*AG85*_xlfn.XLOOKUP(51, År_etter_ferdigstillelse,  f_tid_x_f_tek_d_0_01)))</f>
        <v>0</v>
      </c>
      <c r="AE85" s="333" cm="1">
        <f t="array" ref="AE85">IF(('Tillegg- Inndata Øvrige'!G83) = 0, 0,-0.8*('Tillegg- Inndata Øvrige'!G83)*AH85*('Tillegg- Inndata Øvrige'!E83/'Tillegg- Inndata Øvrige'!G83)*_xlfn.XLOOKUP(51, År_etter_ferdigstillelse,  IF(LEFT('Tillegg- Inndata Øvrige'!B83, 2)= 49, f_tid_x_f_tek_d_0_037, f_tid_x_f_tek_d_0_01)))</f>
        <v>0</v>
      </c>
      <c r="AF85" s="338" cm="1">
        <f t="array" ref="AF85">IF(('Tillegg- Inndata Øvrige'!G83) = 0, 0,-0.1*('Tillegg- Inndata Øvrige'!G83)*AI85*('Tillegg- Inndata Øvrige'!E83/'Tillegg- Inndata Øvrige'!G83)*_xlfn.XLOOKUP(51, År_etter_ferdigstillelse,  IF(LEFT('Tillegg- Inndata Øvrige'!B83, 2)= 49, f_tid_x_f_tek_d_0_037, f_tid_x_f_tek_d_0_01)))</f>
        <v>0</v>
      </c>
      <c r="AG85" s="572">
        <f>IF(('Tillegg- Inndata Øvrige'!G83) = 0, 0,'Tillegg- Inndata Øvrige'!X83*Faktorer!$Z$58)</f>
        <v>0</v>
      </c>
      <c r="AH85" s="573">
        <f>IF(('Tillegg- Inndata Øvrige'!G83) = 0, 0,'Tillegg- Inndata Øvrige'!Z83+('Tillegg- Inndata Øvrige'!X83+'Tillegg- Inndata Øvrige'!Y83)*(1-Faktorer!$Z$58)*0.5)</f>
        <v>0</v>
      </c>
      <c r="AI85" s="574">
        <f>IF(('Tillegg- Inndata Øvrige'!G83) = 0, 0,'Tillegg- Inndata Øvrige'!AA83+('Tillegg- Inndata Øvrige'!X83+'Tillegg- Inndata Øvrige'!Y83)*(1-Faktorer!$Z$58)*0.5)</f>
        <v>0</v>
      </c>
      <c r="AK85" s="90">
        <f t="shared" si="2"/>
        <v>0</v>
      </c>
      <c r="AL85" s="91">
        <f>'Tillegg- Res. Det. Øvrige'!N85</f>
        <v>0</v>
      </c>
      <c r="AM85" s="91" t="str">
        <f>IF(F85=0,"",('Tillegg- Inndata Øvrige'!E85+'Tillegg- Inndata Øvrige'!F85)*ROUNDDOWN('Tillegg- Inndata Øvrige'!I85,0)*(1+'Tillegg- Inndata Øvrige'!K85))</f>
        <v/>
      </c>
      <c r="AO85" s="1"/>
    </row>
    <row r="86" spans="2:41">
      <c r="B86" s="327">
        <f>'Tillegg- Inndata Øvrige'!B84</f>
        <v>0</v>
      </c>
      <c r="C86" s="327">
        <f>'Tillegg- Inndata Øvrige'!C84</f>
        <v>0</v>
      </c>
      <c r="D86" s="327">
        <f>'Tillegg- Inndata Øvrige'!D84</f>
        <v>0</v>
      </c>
      <c r="E86" s="421" cm="1">
        <f t="array" ref="E86">SUM(IFERROR(F86:AF86,0))</f>
        <v>0</v>
      </c>
      <c r="F86" s="330">
        <f>'Tillegg- Inndata Øvrige'!E84</f>
        <v>0</v>
      </c>
      <c r="G86" s="330">
        <f>IF('Tillegg- Inndata Øvrige'!AB84="Ja", -0.8*$F86, 0)</f>
        <v>0</v>
      </c>
      <c r="H86" s="330">
        <f>IF('Tillegg- Inndata Øvrige'!AC84="Ja", -0.4*$F86, 0)</f>
        <v>0</v>
      </c>
      <c r="I86" s="330">
        <f>IF('Tillegg- Inndata Øvrige'!AD84="Ja", -1*$F86, 0)</f>
        <v>0</v>
      </c>
      <c r="J86" s="330">
        <f>'Tillegg- Inndata Øvrige'!O84*'Tillegg- Inndata Øvrige'!P84</f>
        <v>0</v>
      </c>
      <c r="K86" s="330">
        <f>MAX(-0.75*(SUM('Tillegg- Res. Det. Øvrige'!F86:J86)),-'Tillegg- Inndata Øvrige'!O84*'Tillegg- Inndata Øvrige'!Q84)</f>
        <v>0</v>
      </c>
      <c r="L86" s="330">
        <f>'Tillegg- Inndata Øvrige'!S84*'Tillegg- Inndata Øvrige'!T84</f>
        <v>0</v>
      </c>
      <c r="M86" s="330">
        <f>MAX(-0.75*(SUM('Tillegg- Res. Det. Øvrige'!F86:I86,L86)),-'Tillegg- Inndata Øvrige'!S84*'Tillegg- Inndata Øvrige'!U84)</f>
        <v>0</v>
      </c>
      <c r="N86" s="331">
        <f>'Tillegg- Inndata Øvrige'!F84</f>
        <v>0</v>
      </c>
      <c r="O86" s="330">
        <f>'Tillegg- Inndata Øvrige'!O84*'Tillegg- Inndata Øvrige'!R84</f>
        <v>0</v>
      </c>
      <c r="P86" s="332">
        <f>'Tillegg- Inndata Øvrige'!S84*'Tillegg- Inndata Øvrige'!V84</f>
        <v>0</v>
      </c>
      <c r="Q86" s="333">
        <f>SUM(F86:J86,L86)*'Tillegg- Inndata Øvrige'!K84</f>
        <v>0</v>
      </c>
      <c r="R86" s="333">
        <f>(K86+M86)*'Tillegg- Inndata Øvrige'!K84</f>
        <v>0</v>
      </c>
      <c r="S86" s="333">
        <f>SUM(N86:P86)*'Tillegg- Inndata Øvrige'!K84</f>
        <v>0</v>
      </c>
      <c r="T86" s="334">
        <f>('Tillegg- Inndata Øvrige'!G84+'Tillegg- Inndata Øvrige'!O84+'Tillegg- Inndata Øvrige'!S84)*'Tillegg- Inndata Øvrige'!K84*Transport_utslipp_til_avfallshånderting_per_kg</f>
        <v>0</v>
      </c>
      <c r="U86" s="330">
        <f>IF('Tillegg- Inndata Øvrige'!E84 = 0, 0, 1.833*'Tillegg- Inndata Øvrige'!X84*'Tillegg- Inndata Øvrige'!K84*('Tillegg- Inndata Øvrige'!G84*('Tillegg- Inndata Øvrige'!L84*0.5+'Tillegg- Inndata Øvrige'!M84*0.8) + (12/44)*('Tillegg- Inndata Øvrige'!O84*'Tillegg- Inndata Øvrige'!Q84+'Tillegg- Inndata Øvrige'!S84*'Tillegg- Inndata Øvrige'!U84)))</f>
        <v>0</v>
      </c>
      <c r="V86" s="335">
        <f>IF('Tillegg- Inndata Øvrige'!G84 = 0, 0,  MAX(-SUM(F86:J86,L86)*'Tillegg- Inndata Øvrige'!L84, -0.114*IF('Tillegg- Inndata Øvrige'!H84 &gt; 49, _xlfn.XLOOKUP(49, År_etter_ferdigstillelse, karbon_opptak_faktor), _xlfn.XLOOKUP('Tillegg- Inndata Øvrige'!H84, År_etter_ferdigstillelse, karbon_opptak_faktor))*'Tillegg- Inndata Øvrige'!G84*'Tillegg- Inndata Øvrige'!L84*0.5))</f>
        <v>0</v>
      </c>
      <c r="W86" s="333">
        <f>IF('Tillegg- Inndata Øvrige'!G84=0,0,IF('Tillegg- Inndata Øvrige'!H84&gt;49,-0.064*'Tillegg- Inndata Øvrige'!G84*'Tillegg- Inndata Øvrige'!N84,-0.037*'Tillegg- Inndata Øvrige'!J84*'Tillegg- Inndata Øvrige'!N84))</f>
        <v>0</v>
      </c>
      <c r="X86" s="331" cm="1">
        <f t="array" ref="X86">IF(SUM(F86:J86,L86)=0, 0, SUM(F86:J86,L86)*(1+'Tillegg-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Y86" s="330" cm="1">
        <f t="array" ref="Y86">IF(X86=0, 0, SUM(K86,M86)*(1+'Tillegg-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Z86" s="336" cm="1">
        <f t="array" ref="Z86">IF(X86=0, 0, SUM(N86:P86)*(1+'Tillegg-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A86" s="336" cm="1">
        <f t="array" ref="AA86">IF(X86=0, 0, ('Tillegg- Inndata Øvrige'!G84+'Tillegg- Inndata Øvrige'!O84+'Tillegg- Inndata Øvrige'!S84)*(1+'Tillegg- Inndata Øvrige'!K84)*Transport_utslipp_til_avfallshånderting_per_kg*IF('Tillegg-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B86" s="334" cm="1">
        <f t="array" ref="AB86">IF(X86=0, 0,1.833*'Tillegg- Inndata Øvrige'!J84*('Tillegg- Inndata Øvrige'!X84*_xlfn.XLOOKUP(IF('Tillegg- Inndata Øvrige'!I84&lt;2,'Tillegg- Inndata Øvrige'!H84,'Tillegg- Inndata Øvrige'!H84*2), År_etter_ferdigstillelse, Faktorer!$Z$7:$Z$58))*('Tillegg- Inndata Øvrige'!L84*0.5+'Tillegg- Inndata Øvrige'!M84*0.8)*_xlfn.XLOOKUP(IF('Tillegg- Inndata Øvrige'!I84&lt;2,'Tillegg- Inndata Øvrige'!H84,'Tillegg- Inndata Øvrige'!H84*2), År_etter_ferdigstillelse,  IF(LEFT('Tillegg- Inndata Øvrige'!B84, 2)= 49, f_tid_x_f_tek_d_0_037, f_tid_x_f_tek_d_0_01)))</f>
        <v>0</v>
      </c>
      <c r="AC86" s="335">
        <f>IF(('Tillegg- Inndata Øvrige'!G84) = 0, 0,('Tillegg- Inndata Øvrige'!G84*((AG86+AI86)*Transport_utslipp_til_avfallshånderting_per_kg)+('Tillegg- Inndata Øvrige'!Z84*'ZERO-B Beregning'!D186)*IF('ZERO-B Beregning'!F187=0,'ZERO-B Beregning'!D187,'ZERO-B Beregning'!F187))*_xlfn.XLOOKUP(51, År_etter_ferdigstillelse, f_tid_x_f_tek_d_0_01))</f>
        <v>0</v>
      </c>
      <c r="AD86" s="337">
        <f>IF(('Tillegg- Inndata Øvrige'!G84) = 0, 0,1.833*('Tillegg- Inndata Øvrige'!G84*('Tillegg- Inndata Øvrige'!L84*0.5+'Tillegg- Inndata Øvrige'!M84*0.8)*AG86*_xlfn.XLOOKUP(51, År_etter_ferdigstillelse,  f_tid_x_f_tek_d_0_01)))</f>
        <v>0</v>
      </c>
      <c r="AE86" s="333" cm="1">
        <f t="array" ref="AE86">IF(('Tillegg- Inndata Øvrige'!G84) = 0, 0,-0.8*('Tillegg- Inndata Øvrige'!G84)*AH86*('Tillegg- Inndata Øvrige'!E84/'Tillegg- Inndata Øvrige'!G84)*_xlfn.XLOOKUP(51, År_etter_ferdigstillelse,  IF(LEFT('Tillegg- Inndata Øvrige'!B84, 2)= 49, f_tid_x_f_tek_d_0_037, f_tid_x_f_tek_d_0_01)))</f>
        <v>0</v>
      </c>
      <c r="AF86" s="338" cm="1">
        <f t="array" ref="AF86">IF(('Tillegg- Inndata Øvrige'!G84) = 0, 0,-0.1*('Tillegg- Inndata Øvrige'!G84)*AI86*('Tillegg- Inndata Øvrige'!E84/'Tillegg- Inndata Øvrige'!G84)*_xlfn.XLOOKUP(51, År_etter_ferdigstillelse,  IF(LEFT('Tillegg- Inndata Øvrige'!B84, 2)= 49, f_tid_x_f_tek_d_0_037, f_tid_x_f_tek_d_0_01)))</f>
        <v>0</v>
      </c>
      <c r="AG86" s="572">
        <f>IF(('Tillegg- Inndata Øvrige'!G84) = 0, 0,'Tillegg- Inndata Øvrige'!X84*Faktorer!$Z$58)</f>
        <v>0</v>
      </c>
      <c r="AH86" s="573">
        <f>IF(('Tillegg- Inndata Øvrige'!G84) = 0, 0,'Tillegg- Inndata Øvrige'!Z84+('Tillegg- Inndata Øvrige'!X84+'Tillegg- Inndata Øvrige'!Y84)*(1-Faktorer!$Z$58)*0.5)</f>
        <v>0</v>
      </c>
      <c r="AI86" s="574">
        <f>IF(('Tillegg- Inndata Øvrige'!G84) = 0, 0,'Tillegg- Inndata Øvrige'!AA84+('Tillegg- Inndata Øvrige'!X84+'Tillegg- Inndata Øvrige'!Y84)*(1-Faktorer!$Z$58)*0.5)</f>
        <v>0</v>
      </c>
      <c r="AK86" s="90">
        <f t="shared" si="2"/>
        <v>0</v>
      </c>
      <c r="AL86" s="91">
        <f>'Tillegg- Res. Det. Øvrige'!N86</f>
        <v>0</v>
      </c>
      <c r="AM86" s="91" t="str">
        <f>IF(F86=0,"",('Tillegg- Inndata Øvrige'!E86+'Tillegg- Inndata Øvrige'!F86)*ROUNDDOWN('Tillegg- Inndata Øvrige'!I86,0)*(1+'Tillegg- Inndata Øvrige'!K86))</f>
        <v/>
      </c>
      <c r="AO86" s="1"/>
    </row>
    <row r="87" spans="2:41">
      <c r="B87" s="327">
        <f>'Tillegg- Inndata Øvrige'!B85</f>
        <v>0</v>
      </c>
      <c r="C87" s="327">
        <f>'Tillegg- Inndata Øvrige'!C85</f>
        <v>0</v>
      </c>
      <c r="D87" s="327">
        <f>'Tillegg- Inndata Øvrige'!D85</f>
        <v>0</v>
      </c>
      <c r="E87" s="421" cm="1">
        <f t="array" ref="E87">SUM(IFERROR(F87:AF87,0))</f>
        <v>0</v>
      </c>
      <c r="F87" s="330">
        <f>'Tillegg- Inndata Øvrige'!E85</f>
        <v>0</v>
      </c>
      <c r="G87" s="330">
        <f>IF('Tillegg- Inndata Øvrige'!AB85="Ja", -0.8*$F87, 0)</f>
        <v>0</v>
      </c>
      <c r="H87" s="330">
        <f>IF('Tillegg- Inndata Øvrige'!AC85="Ja", -0.4*$F87, 0)</f>
        <v>0</v>
      </c>
      <c r="I87" s="330">
        <f>IF('Tillegg- Inndata Øvrige'!AD85="Ja", -1*$F87, 0)</f>
        <v>0</v>
      </c>
      <c r="J87" s="330">
        <f>'Tillegg- Inndata Øvrige'!O85*'Tillegg- Inndata Øvrige'!P85</f>
        <v>0</v>
      </c>
      <c r="K87" s="330">
        <f>MAX(-0.75*(SUM('Tillegg- Res. Det. Øvrige'!F87:J87)),-'Tillegg- Inndata Øvrige'!O85*'Tillegg- Inndata Øvrige'!Q85)</f>
        <v>0</v>
      </c>
      <c r="L87" s="330">
        <f>'Tillegg- Inndata Øvrige'!S85*'Tillegg- Inndata Øvrige'!T85</f>
        <v>0</v>
      </c>
      <c r="M87" s="330">
        <f>MAX(-0.75*(SUM('Tillegg- Res. Det. Øvrige'!F87:I87,L87)),-'Tillegg- Inndata Øvrige'!S85*'Tillegg- Inndata Øvrige'!U85)</f>
        <v>0</v>
      </c>
      <c r="N87" s="331">
        <f>'Tillegg- Inndata Øvrige'!F85</f>
        <v>0</v>
      </c>
      <c r="O87" s="330">
        <f>'Tillegg- Inndata Øvrige'!O85*'Tillegg- Inndata Øvrige'!R85</f>
        <v>0</v>
      </c>
      <c r="P87" s="332">
        <f>'Tillegg- Inndata Øvrige'!S85*'Tillegg- Inndata Øvrige'!V85</f>
        <v>0</v>
      </c>
      <c r="Q87" s="333">
        <f>SUM(F87:J87,L87)*'Tillegg- Inndata Øvrige'!K85</f>
        <v>0</v>
      </c>
      <c r="R87" s="333">
        <f>(K87+M87)*'Tillegg- Inndata Øvrige'!K85</f>
        <v>0</v>
      </c>
      <c r="S87" s="333">
        <f>SUM(N87:P87)*'Tillegg- Inndata Øvrige'!K85</f>
        <v>0</v>
      </c>
      <c r="T87" s="334">
        <f>('Tillegg- Inndata Øvrige'!G85+'Tillegg- Inndata Øvrige'!O85+'Tillegg- Inndata Øvrige'!S85)*'Tillegg- Inndata Øvrige'!K85*Transport_utslipp_til_avfallshånderting_per_kg</f>
        <v>0</v>
      </c>
      <c r="U87" s="330">
        <f>IF('Tillegg- Inndata Øvrige'!E85 = 0, 0, 1.833*'Tillegg- Inndata Øvrige'!X85*'Tillegg- Inndata Øvrige'!K85*('Tillegg- Inndata Øvrige'!G85*('Tillegg- Inndata Øvrige'!L85*0.5+'Tillegg- Inndata Øvrige'!M85*0.8) + (12/44)*('Tillegg- Inndata Øvrige'!O85*'Tillegg- Inndata Øvrige'!Q85+'Tillegg- Inndata Øvrige'!S85*'Tillegg- Inndata Øvrige'!U85)))</f>
        <v>0</v>
      </c>
      <c r="V87" s="335">
        <f>IF('Tillegg- Inndata Øvrige'!G85 = 0, 0,  MAX(-SUM(F87:J87,L87)*'Tillegg- Inndata Øvrige'!L85, -0.114*IF('Tillegg- Inndata Øvrige'!H85 &gt; 49, _xlfn.XLOOKUP(49, År_etter_ferdigstillelse, karbon_opptak_faktor), _xlfn.XLOOKUP('Tillegg- Inndata Øvrige'!H85, År_etter_ferdigstillelse, karbon_opptak_faktor))*'Tillegg- Inndata Øvrige'!G85*'Tillegg- Inndata Øvrige'!L85*0.5))</f>
        <v>0</v>
      </c>
      <c r="W87" s="333">
        <f>IF('Tillegg- Inndata Øvrige'!G85=0,0,IF('Tillegg- Inndata Øvrige'!H85&gt;49,-0.064*'Tillegg- Inndata Øvrige'!G85*'Tillegg- Inndata Øvrige'!N85,-0.037*'Tillegg- Inndata Øvrige'!J85*'Tillegg- Inndata Øvrige'!N85))</f>
        <v>0</v>
      </c>
      <c r="X87" s="331" cm="1">
        <f t="array" ref="X87">IF(SUM(F87:J87,L87)=0, 0, SUM(F87:J87,L87)*(1+'Tillegg-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Y87" s="330" cm="1">
        <f t="array" ref="Y87">IF(X87=0, 0, SUM(K87,M87)*(1+'Tillegg-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Z87" s="336" cm="1">
        <f t="array" ref="Z87">IF(X87=0, 0, SUM(N87:P87)*(1+'Tillegg-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A87" s="336" cm="1">
        <f t="array" ref="AA87">IF(X87=0, 0, ('Tillegg- Inndata Øvrige'!G85+'Tillegg- Inndata Øvrige'!O85+'Tillegg- Inndata Øvrige'!S85)*(1+'Tillegg- Inndata Øvrige'!K85)*Transport_utslipp_til_avfallshånderting_per_kg*IF('Tillegg-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B87" s="334" cm="1">
        <f t="array" ref="AB87">IF(X87=0, 0,1.833*'Tillegg- Inndata Øvrige'!J85*('Tillegg- Inndata Øvrige'!X85*_xlfn.XLOOKUP(IF('Tillegg- Inndata Øvrige'!I85&lt;2,'Tillegg- Inndata Øvrige'!H85,'Tillegg- Inndata Øvrige'!H85*2), År_etter_ferdigstillelse, Faktorer!$Z$7:$Z$58))*('Tillegg- Inndata Øvrige'!L85*0.5+'Tillegg- Inndata Øvrige'!M85*0.8)*_xlfn.XLOOKUP(IF('Tillegg- Inndata Øvrige'!I85&lt;2,'Tillegg- Inndata Øvrige'!H85,'Tillegg- Inndata Øvrige'!H85*2), År_etter_ferdigstillelse,  IF(LEFT('Tillegg- Inndata Øvrige'!B85, 2)= 49, f_tid_x_f_tek_d_0_037, f_tid_x_f_tek_d_0_01)))</f>
        <v>0</v>
      </c>
      <c r="AC87" s="335">
        <f>IF(('Tillegg- Inndata Øvrige'!G85) = 0, 0,('Tillegg- Inndata Øvrige'!G85*((AG87+AI87)*Transport_utslipp_til_avfallshånderting_per_kg)+('Tillegg- Inndata Øvrige'!Z85*'ZERO-B Beregning'!D187)*IF('ZERO-B Beregning'!F188=0,'ZERO-B Beregning'!D188,'ZERO-B Beregning'!F188))*_xlfn.XLOOKUP(51, År_etter_ferdigstillelse, f_tid_x_f_tek_d_0_01))</f>
        <v>0</v>
      </c>
      <c r="AD87" s="337">
        <f>IF(('Tillegg- Inndata Øvrige'!G85) = 0, 0,1.833*('Tillegg- Inndata Øvrige'!G85*('Tillegg- Inndata Øvrige'!L85*0.5+'Tillegg- Inndata Øvrige'!M85*0.8)*AG87*_xlfn.XLOOKUP(51, År_etter_ferdigstillelse,  f_tid_x_f_tek_d_0_01)))</f>
        <v>0</v>
      </c>
      <c r="AE87" s="333" cm="1">
        <f t="array" ref="AE87">IF(('Tillegg- Inndata Øvrige'!G85) = 0, 0,-0.8*('Tillegg- Inndata Øvrige'!G85)*AH87*('Tillegg- Inndata Øvrige'!E85/'Tillegg- Inndata Øvrige'!G85)*_xlfn.XLOOKUP(51, År_etter_ferdigstillelse,  IF(LEFT('Tillegg- Inndata Øvrige'!B85, 2)= 49, f_tid_x_f_tek_d_0_037, f_tid_x_f_tek_d_0_01)))</f>
        <v>0</v>
      </c>
      <c r="AF87" s="338" cm="1">
        <f t="array" ref="AF87">IF(('Tillegg- Inndata Øvrige'!G85) = 0, 0,-0.1*('Tillegg- Inndata Øvrige'!G85)*AI87*('Tillegg- Inndata Øvrige'!E85/'Tillegg- Inndata Øvrige'!G85)*_xlfn.XLOOKUP(51, År_etter_ferdigstillelse,  IF(LEFT('Tillegg- Inndata Øvrige'!B85, 2)= 49, f_tid_x_f_tek_d_0_037, f_tid_x_f_tek_d_0_01)))</f>
        <v>0</v>
      </c>
      <c r="AG87" s="572">
        <f>IF(('Tillegg- Inndata Øvrige'!G85) = 0, 0,'Tillegg- Inndata Øvrige'!X85*Faktorer!$Z$58)</f>
        <v>0</v>
      </c>
      <c r="AH87" s="573">
        <f>IF(('Tillegg- Inndata Øvrige'!G85) = 0, 0,'Tillegg- Inndata Øvrige'!Z85+('Tillegg- Inndata Øvrige'!X85+'Tillegg- Inndata Øvrige'!Y85)*(1-Faktorer!$Z$58)*0.5)</f>
        <v>0</v>
      </c>
      <c r="AI87" s="574">
        <f>IF(('Tillegg- Inndata Øvrige'!G85) = 0, 0,'Tillegg- Inndata Øvrige'!AA85+('Tillegg- Inndata Øvrige'!X85+'Tillegg- Inndata Øvrige'!Y85)*(1-Faktorer!$Z$58)*0.5)</f>
        <v>0</v>
      </c>
      <c r="AK87" s="90">
        <f t="shared" si="2"/>
        <v>0</v>
      </c>
      <c r="AL87" s="91">
        <f>'Tillegg- Res. Det. Øvrige'!N87</f>
        <v>0</v>
      </c>
      <c r="AM87" s="91" t="str">
        <f>IF(F87=0,"",('Tillegg- Inndata Øvrige'!E87+'Tillegg- Inndata Øvrige'!F87)*ROUNDDOWN('Tillegg- Inndata Øvrige'!I87,0)*(1+'Tillegg- Inndata Øvrige'!K87))</f>
        <v/>
      </c>
      <c r="AO87" s="1"/>
    </row>
    <row r="88" spans="2:41">
      <c r="B88" s="327">
        <f>'Tillegg- Inndata Øvrige'!B86</f>
        <v>0</v>
      </c>
      <c r="C88" s="327">
        <f>'Tillegg- Inndata Øvrige'!C86</f>
        <v>0</v>
      </c>
      <c r="D88" s="327">
        <f>'Tillegg- Inndata Øvrige'!D86</f>
        <v>0</v>
      </c>
      <c r="E88" s="421" cm="1">
        <f t="array" ref="E88">SUM(IFERROR(F88:AF88,0))</f>
        <v>0</v>
      </c>
      <c r="F88" s="330">
        <f>'Tillegg- Inndata Øvrige'!E86</f>
        <v>0</v>
      </c>
      <c r="G88" s="330">
        <f>IF('Tillegg- Inndata Øvrige'!AB86="Ja", -0.8*$F88, 0)</f>
        <v>0</v>
      </c>
      <c r="H88" s="330">
        <f>IF('Tillegg- Inndata Øvrige'!AC86="Ja", -0.4*$F88, 0)</f>
        <v>0</v>
      </c>
      <c r="I88" s="330">
        <f>IF('Tillegg- Inndata Øvrige'!AD86="Ja", -1*$F88, 0)</f>
        <v>0</v>
      </c>
      <c r="J88" s="330">
        <f>'Tillegg- Inndata Øvrige'!O86*'Tillegg- Inndata Øvrige'!P86</f>
        <v>0</v>
      </c>
      <c r="K88" s="330">
        <f>MAX(-0.75*(SUM('Tillegg- Res. Det. Øvrige'!F88:J88)),-'Tillegg- Inndata Øvrige'!O86*'Tillegg- Inndata Øvrige'!Q86)</f>
        <v>0</v>
      </c>
      <c r="L88" s="330">
        <f>'Tillegg- Inndata Øvrige'!S86*'Tillegg- Inndata Øvrige'!T86</f>
        <v>0</v>
      </c>
      <c r="M88" s="330">
        <f>MAX(-0.75*(SUM('Tillegg- Res. Det. Øvrige'!F88:I88,L88)),-'Tillegg- Inndata Øvrige'!S86*'Tillegg- Inndata Øvrige'!U86)</f>
        <v>0</v>
      </c>
      <c r="N88" s="331">
        <f>'Tillegg- Inndata Øvrige'!F86</f>
        <v>0</v>
      </c>
      <c r="O88" s="330">
        <f>'Tillegg- Inndata Øvrige'!O86*'Tillegg- Inndata Øvrige'!R86</f>
        <v>0</v>
      </c>
      <c r="P88" s="332">
        <f>'Tillegg- Inndata Øvrige'!S86*'Tillegg- Inndata Øvrige'!V86</f>
        <v>0</v>
      </c>
      <c r="Q88" s="333">
        <f>SUM(F88:J88,L88)*'Tillegg- Inndata Øvrige'!K86</f>
        <v>0</v>
      </c>
      <c r="R88" s="333">
        <f>(K88+M88)*'Tillegg- Inndata Øvrige'!K86</f>
        <v>0</v>
      </c>
      <c r="S88" s="333">
        <f>SUM(N88:P88)*'Tillegg- Inndata Øvrige'!K86</f>
        <v>0</v>
      </c>
      <c r="T88" s="334">
        <f>('Tillegg- Inndata Øvrige'!G86+'Tillegg- Inndata Øvrige'!O86+'Tillegg- Inndata Øvrige'!S86)*'Tillegg- Inndata Øvrige'!K86*Transport_utslipp_til_avfallshånderting_per_kg</f>
        <v>0</v>
      </c>
      <c r="U88" s="330">
        <f>IF('Tillegg- Inndata Øvrige'!E86 = 0, 0, 1.833*'Tillegg- Inndata Øvrige'!X86*'Tillegg- Inndata Øvrige'!K86*('Tillegg- Inndata Øvrige'!G86*('Tillegg- Inndata Øvrige'!L86*0.5+'Tillegg- Inndata Øvrige'!M86*0.8) + (12/44)*('Tillegg- Inndata Øvrige'!O86*'Tillegg- Inndata Øvrige'!Q86+'Tillegg- Inndata Øvrige'!S86*'Tillegg- Inndata Øvrige'!U86)))</f>
        <v>0</v>
      </c>
      <c r="V88" s="335">
        <f>IF('Tillegg- Inndata Øvrige'!G86 = 0, 0,  MAX(-SUM(F88:J88,L88)*'Tillegg- Inndata Øvrige'!L86, -0.114*IF('Tillegg- Inndata Øvrige'!H86 &gt; 49, _xlfn.XLOOKUP(49, År_etter_ferdigstillelse, karbon_opptak_faktor), _xlfn.XLOOKUP('Tillegg- Inndata Øvrige'!H86, År_etter_ferdigstillelse, karbon_opptak_faktor))*'Tillegg- Inndata Øvrige'!G86*'Tillegg- Inndata Øvrige'!L86*0.5))</f>
        <v>0</v>
      </c>
      <c r="W88" s="333">
        <f>IF('Tillegg- Inndata Øvrige'!G86=0,0,IF('Tillegg- Inndata Øvrige'!H86&gt;49,-0.064*'Tillegg- Inndata Øvrige'!G86*'Tillegg- Inndata Øvrige'!N86,-0.037*'Tillegg- Inndata Øvrige'!J86*'Tillegg- Inndata Øvrige'!N86))</f>
        <v>0</v>
      </c>
      <c r="X88" s="331" cm="1">
        <f t="array" ref="X88">IF(SUM(F88:J88,L88)=0, 0, SUM(F88:J88,L88)*(1+'Tillegg-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Y88" s="330" cm="1">
        <f t="array" ref="Y88">IF(X88=0, 0, SUM(K88,M88)*(1+'Tillegg-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Z88" s="336" cm="1">
        <f t="array" ref="Z88">IF(X88=0, 0, SUM(N88:P88)*(1+'Tillegg-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A88" s="336" cm="1">
        <f t="array" ref="AA88">IF(X88=0, 0, ('Tillegg- Inndata Øvrige'!G86+'Tillegg- Inndata Øvrige'!O86+'Tillegg- Inndata Øvrige'!S86)*(1+'Tillegg- Inndata Øvrige'!K86)*Transport_utslipp_til_avfallshånderting_per_kg*IF('Tillegg-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B88" s="334" cm="1">
        <f t="array" ref="AB88">IF(X88=0, 0,1.833*'Tillegg- Inndata Øvrige'!J86*('Tillegg- Inndata Øvrige'!X86*_xlfn.XLOOKUP(IF('Tillegg- Inndata Øvrige'!I86&lt;2,'Tillegg- Inndata Øvrige'!H86,'Tillegg- Inndata Øvrige'!H86*2), År_etter_ferdigstillelse, Faktorer!$Z$7:$Z$58))*('Tillegg- Inndata Øvrige'!L86*0.5+'Tillegg- Inndata Øvrige'!M86*0.8)*_xlfn.XLOOKUP(IF('Tillegg- Inndata Øvrige'!I86&lt;2,'Tillegg- Inndata Øvrige'!H86,'Tillegg- Inndata Øvrige'!H86*2), År_etter_ferdigstillelse,  IF(LEFT('Tillegg- Inndata Øvrige'!B86, 2)= 49, f_tid_x_f_tek_d_0_037, f_tid_x_f_tek_d_0_01)))</f>
        <v>0</v>
      </c>
      <c r="AC88" s="335">
        <f>IF(('Tillegg- Inndata Øvrige'!G86) = 0, 0,('Tillegg- Inndata Øvrige'!G86*((AG88+AI88)*Transport_utslipp_til_avfallshånderting_per_kg)+('Tillegg- Inndata Øvrige'!Z86*'ZERO-B Beregning'!D188)*IF('ZERO-B Beregning'!F189=0,'ZERO-B Beregning'!D189,'ZERO-B Beregning'!F189))*_xlfn.XLOOKUP(51, År_etter_ferdigstillelse, f_tid_x_f_tek_d_0_01))</f>
        <v>0</v>
      </c>
      <c r="AD88" s="337">
        <f>IF(('Tillegg- Inndata Øvrige'!G86) = 0, 0,1.833*('Tillegg- Inndata Øvrige'!G86*('Tillegg- Inndata Øvrige'!L86*0.5+'Tillegg- Inndata Øvrige'!M86*0.8)*AG88*_xlfn.XLOOKUP(51, År_etter_ferdigstillelse,  f_tid_x_f_tek_d_0_01)))</f>
        <v>0</v>
      </c>
      <c r="AE88" s="333" cm="1">
        <f t="array" ref="AE88">IF(('Tillegg- Inndata Øvrige'!G86) = 0, 0,-0.8*('Tillegg- Inndata Øvrige'!G86)*AH88*('Tillegg- Inndata Øvrige'!E86/'Tillegg- Inndata Øvrige'!G86)*_xlfn.XLOOKUP(51, År_etter_ferdigstillelse,  IF(LEFT('Tillegg- Inndata Øvrige'!B86, 2)= 49, f_tid_x_f_tek_d_0_037, f_tid_x_f_tek_d_0_01)))</f>
        <v>0</v>
      </c>
      <c r="AF88" s="338" cm="1">
        <f t="array" ref="AF88">IF(('Tillegg- Inndata Øvrige'!G86) = 0, 0,-0.1*('Tillegg- Inndata Øvrige'!G86)*AI88*('Tillegg- Inndata Øvrige'!E86/'Tillegg- Inndata Øvrige'!G86)*_xlfn.XLOOKUP(51, År_etter_ferdigstillelse,  IF(LEFT('Tillegg- Inndata Øvrige'!B86, 2)= 49, f_tid_x_f_tek_d_0_037, f_tid_x_f_tek_d_0_01)))</f>
        <v>0</v>
      </c>
      <c r="AG88" s="572">
        <f>IF(('Tillegg- Inndata Øvrige'!G86) = 0, 0,'Tillegg- Inndata Øvrige'!X86*Faktorer!$Z$58)</f>
        <v>0</v>
      </c>
      <c r="AH88" s="573">
        <f>IF(('Tillegg- Inndata Øvrige'!G86) = 0, 0,'Tillegg- Inndata Øvrige'!Z86+('Tillegg- Inndata Øvrige'!X86+'Tillegg- Inndata Øvrige'!Y86)*(1-Faktorer!$Z$58)*0.5)</f>
        <v>0</v>
      </c>
      <c r="AI88" s="574">
        <f>IF(('Tillegg- Inndata Øvrige'!G86) = 0, 0,'Tillegg- Inndata Øvrige'!AA86+('Tillegg- Inndata Øvrige'!X86+'Tillegg- Inndata Øvrige'!Y86)*(1-Faktorer!$Z$58)*0.5)</f>
        <v>0</v>
      </c>
      <c r="AK88" s="90">
        <f t="shared" si="2"/>
        <v>0</v>
      </c>
      <c r="AL88" s="91">
        <f>'Tillegg- Res. Det. Øvrige'!N88</f>
        <v>0</v>
      </c>
      <c r="AM88" s="91" t="str">
        <f>IF(F88=0,"",('Tillegg- Inndata Øvrige'!E88+'Tillegg- Inndata Øvrige'!F88)*ROUNDDOWN('Tillegg- Inndata Øvrige'!I88,0)*(1+'Tillegg- Inndata Øvrige'!K88))</f>
        <v/>
      </c>
      <c r="AO88" s="1"/>
    </row>
    <row r="89" spans="2:41">
      <c r="B89" s="327">
        <f>'Tillegg- Inndata Øvrige'!B87</f>
        <v>0</v>
      </c>
      <c r="C89" s="327">
        <f>'Tillegg- Inndata Øvrige'!C87</f>
        <v>0</v>
      </c>
      <c r="D89" s="327">
        <f>'Tillegg- Inndata Øvrige'!D87</f>
        <v>0</v>
      </c>
      <c r="E89" s="421" cm="1">
        <f t="array" ref="E89">SUM(IFERROR(F89:AF89,0))</f>
        <v>0</v>
      </c>
      <c r="F89" s="330">
        <f>'Tillegg- Inndata Øvrige'!E87</f>
        <v>0</v>
      </c>
      <c r="G89" s="330">
        <f>IF('Tillegg- Inndata Øvrige'!AB87="Ja", -0.8*$F89, 0)</f>
        <v>0</v>
      </c>
      <c r="H89" s="330">
        <f>IF('Tillegg- Inndata Øvrige'!AC87="Ja", -0.4*$F89, 0)</f>
        <v>0</v>
      </c>
      <c r="I89" s="330">
        <f>IF('Tillegg- Inndata Øvrige'!AD87="Ja", -1*$F89, 0)</f>
        <v>0</v>
      </c>
      <c r="J89" s="330">
        <f>'Tillegg- Inndata Øvrige'!O87*'Tillegg- Inndata Øvrige'!P87</f>
        <v>0</v>
      </c>
      <c r="K89" s="330">
        <f>MAX(-0.75*(SUM('Tillegg- Res. Det. Øvrige'!F89:J89)),-'Tillegg- Inndata Øvrige'!O87*'Tillegg- Inndata Øvrige'!Q87)</f>
        <v>0</v>
      </c>
      <c r="L89" s="330">
        <f>'Tillegg- Inndata Øvrige'!S87*'Tillegg- Inndata Øvrige'!T87</f>
        <v>0</v>
      </c>
      <c r="M89" s="330">
        <f>MAX(-0.75*(SUM('Tillegg- Res. Det. Øvrige'!F89:I89,L89)),-'Tillegg- Inndata Øvrige'!S87*'Tillegg- Inndata Øvrige'!U87)</f>
        <v>0</v>
      </c>
      <c r="N89" s="331">
        <f>'Tillegg- Inndata Øvrige'!F87</f>
        <v>0</v>
      </c>
      <c r="O89" s="330">
        <f>'Tillegg- Inndata Øvrige'!O87*'Tillegg- Inndata Øvrige'!R87</f>
        <v>0</v>
      </c>
      <c r="P89" s="332">
        <f>'Tillegg- Inndata Øvrige'!S87*'Tillegg- Inndata Øvrige'!V87</f>
        <v>0</v>
      </c>
      <c r="Q89" s="333">
        <f>SUM(F89:J89,L89)*'Tillegg- Inndata Øvrige'!K87</f>
        <v>0</v>
      </c>
      <c r="R89" s="333">
        <f>(K89+M89)*'Tillegg- Inndata Øvrige'!K87</f>
        <v>0</v>
      </c>
      <c r="S89" s="333">
        <f>SUM(N89:P89)*'Tillegg- Inndata Øvrige'!K87</f>
        <v>0</v>
      </c>
      <c r="T89" s="334">
        <f>('Tillegg- Inndata Øvrige'!G87+'Tillegg- Inndata Øvrige'!O87+'Tillegg- Inndata Øvrige'!S87)*'Tillegg- Inndata Øvrige'!K87*Transport_utslipp_til_avfallshånderting_per_kg</f>
        <v>0</v>
      </c>
      <c r="U89" s="330">
        <f>IF('Tillegg- Inndata Øvrige'!E87 = 0, 0, 1.833*'Tillegg- Inndata Øvrige'!X87*'Tillegg- Inndata Øvrige'!K87*('Tillegg- Inndata Øvrige'!G87*('Tillegg- Inndata Øvrige'!L87*0.5+'Tillegg- Inndata Øvrige'!M87*0.8) + (12/44)*('Tillegg- Inndata Øvrige'!O87*'Tillegg- Inndata Øvrige'!Q87+'Tillegg- Inndata Øvrige'!S87*'Tillegg- Inndata Øvrige'!U87)))</f>
        <v>0</v>
      </c>
      <c r="V89" s="335">
        <f>IF('Tillegg- Inndata Øvrige'!G87 = 0, 0,  MAX(-SUM(F89:J89,L89)*'Tillegg- Inndata Øvrige'!L87, -0.114*IF('Tillegg- Inndata Øvrige'!H87 &gt; 49, _xlfn.XLOOKUP(49, År_etter_ferdigstillelse, karbon_opptak_faktor), _xlfn.XLOOKUP('Tillegg- Inndata Øvrige'!H87, År_etter_ferdigstillelse, karbon_opptak_faktor))*'Tillegg- Inndata Øvrige'!G87*'Tillegg- Inndata Øvrige'!L87*0.5))</f>
        <v>0</v>
      </c>
      <c r="W89" s="333">
        <f>IF('Tillegg- Inndata Øvrige'!G87=0,0,IF('Tillegg- Inndata Øvrige'!H87&gt;49,-0.064*'Tillegg- Inndata Øvrige'!G87*'Tillegg- Inndata Øvrige'!N87,-0.037*'Tillegg- Inndata Øvrige'!J87*'Tillegg- Inndata Øvrige'!N87))</f>
        <v>0</v>
      </c>
      <c r="X89" s="331" cm="1">
        <f t="array" ref="X89">IF(SUM(F89:J89,L89)=0, 0, SUM(F89:J89,L89)*(1+'Tillegg-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Y89" s="330" cm="1">
        <f t="array" ref="Y89">IF(X89=0, 0, SUM(K89,M89)*(1+'Tillegg-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Z89" s="336" cm="1">
        <f t="array" ref="Z89">IF(X89=0, 0, SUM(N89:P89)*(1+'Tillegg-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A89" s="336" cm="1">
        <f t="array" ref="AA89">IF(X89=0, 0, ('Tillegg- Inndata Øvrige'!G87+'Tillegg- Inndata Øvrige'!O87+'Tillegg- Inndata Øvrige'!S87)*(1+'Tillegg- Inndata Øvrige'!K87)*Transport_utslipp_til_avfallshånderting_per_kg*IF('Tillegg-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B89" s="334" cm="1">
        <f t="array" ref="AB89">IF(X89=0, 0,1.833*'Tillegg- Inndata Øvrige'!J87*('Tillegg- Inndata Øvrige'!X87*_xlfn.XLOOKUP(IF('Tillegg- Inndata Øvrige'!I87&lt;2,'Tillegg- Inndata Øvrige'!H87,'Tillegg- Inndata Øvrige'!H87*2), År_etter_ferdigstillelse, Faktorer!$Z$7:$Z$58))*('Tillegg- Inndata Øvrige'!L87*0.5+'Tillegg- Inndata Øvrige'!M87*0.8)*_xlfn.XLOOKUP(IF('Tillegg- Inndata Øvrige'!I87&lt;2,'Tillegg- Inndata Øvrige'!H87,'Tillegg- Inndata Øvrige'!H87*2), År_etter_ferdigstillelse,  IF(LEFT('Tillegg- Inndata Øvrige'!B87, 2)= 49, f_tid_x_f_tek_d_0_037, f_tid_x_f_tek_d_0_01)))</f>
        <v>0</v>
      </c>
      <c r="AC89" s="335">
        <f>IF(('Tillegg- Inndata Øvrige'!G87) = 0, 0,('Tillegg- Inndata Øvrige'!G87*((AG89+AI89)*Transport_utslipp_til_avfallshånderting_per_kg)+('Tillegg- Inndata Øvrige'!Z87*'ZERO-B Beregning'!D189)*IF('ZERO-B Beregning'!F190=0,'ZERO-B Beregning'!D190,'ZERO-B Beregning'!F190))*_xlfn.XLOOKUP(51, År_etter_ferdigstillelse, f_tid_x_f_tek_d_0_01))</f>
        <v>0</v>
      </c>
      <c r="AD89" s="337">
        <f>IF(('Tillegg- Inndata Øvrige'!G87) = 0, 0,1.833*('Tillegg- Inndata Øvrige'!G87*('Tillegg- Inndata Øvrige'!L87*0.5+'Tillegg- Inndata Øvrige'!M87*0.8)*AG89*_xlfn.XLOOKUP(51, År_etter_ferdigstillelse,  f_tid_x_f_tek_d_0_01)))</f>
        <v>0</v>
      </c>
      <c r="AE89" s="333" cm="1">
        <f t="array" ref="AE89">IF(('Tillegg- Inndata Øvrige'!G87) = 0, 0,-0.8*('Tillegg- Inndata Øvrige'!G87)*AH89*('Tillegg- Inndata Øvrige'!E87/'Tillegg- Inndata Øvrige'!G87)*_xlfn.XLOOKUP(51, År_etter_ferdigstillelse,  IF(LEFT('Tillegg- Inndata Øvrige'!B87, 2)= 49, f_tid_x_f_tek_d_0_037, f_tid_x_f_tek_d_0_01)))</f>
        <v>0</v>
      </c>
      <c r="AF89" s="338" cm="1">
        <f t="array" ref="AF89">IF(('Tillegg- Inndata Øvrige'!G87) = 0, 0,-0.1*('Tillegg- Inndata Øvrige'!G87)*AI89*('Tillegg- Inndata Øvrige'!E87/'Tillegg- Inndata Øvrige'!G87)*_xlfn.XLOOKUP(51, År_etter_ferdigstillelse,  IF(LEFT('Tillegg- Inndata Øvrige'!B87, 2)= 49, f_tid_x_f_tek_d_0_037, f_tid_x_f_tek_d_0_01)))</f>
        <v>0</v>
      </c>
      <c r="AG89" s="572">
        <f>IF(('Tillegg- Inndata Øvrige'!G87) = 0, 0,'Tillegg- Inndata Øvrige'!X87*Faktorer!$Z$58)</f>
        <v>0</v>
      </c>
      <c r="AH89" s="573">
        <f>IF(('Tillegg- Inndata Øvrige'!G87) = 0, 0,'Tillegg- Inndata Øvrige'!Z87+('Tillegg- Inndata Øvrige'!X87+'Tillegg- Inndata Øvrige'!Y87)*(1-Faktorer!$Z$58)*0.5)</f>
        <v>0</v>
      </c>
      <c r="AI89" s="574">
        <f>IF(('Tillegg- Inndata Øvrige'!G87) = 0, 0,'Tillegg- Inndata Øvrige'!AA87+('Tillegg- Inndata Øvrige'!X87+'Tillegg- Inndata Øvrige'!Y87)*(1-Faktorer!$Z$58)*0.5)</f>
        <v>0</v>
      </c>
      <c r="AK89" s="90">
        <f t="shared" si="2"/>
        <v>0</v>
      </c>
      <c r="AL89" s="91">
        <f>'Tillegg- Res. Det. Øvrige'!N89</f>
        <v>0</v>
      </c>
      <c r="AM89" s="91" t="str">
        <f>IF(F89=0,"",('Tillegg- Inndata Øvrige'!E89+'Tillegg- Inndata Øvrige'!F89)*ROUNDDOWN('Tillegg- Inndata Øvrige'!I89,0)*(1+'Tillegg- Inndata Øvrige'!K89))</f>
        <v/>
      </c>
      <c r="AO89" s="1"/>
    </row>
    <row r="90" spans="2:41">
      <c r="B90" s="327">
        <f>'Tillegg- Inndata Øvrige'!B88</f>
        <v>0</v>
      </c>
      <c r="C90" s="327">
        <f>'Tillegg- Inndata Øvrige'!C88</f>
        <v>0</v>
      </c>
      <c r="D90" s="327">
        <f>'Tillegg- Inndata Øvrige'!D88</f>
        <v>0</v>
      </c>
      <c r="E90" s="421" cm="1">
        <f t="array" ref="E90">SUM(IFERROR(F90:AF90,0))</f>
        <v>0</v>
      </c>
      <c r="F90" s="330">
        <f>'Tillegg- Inndata Øvrige'!E88</f>
        <v>0</v>
      </c>
      <c r="G90" s="330">
        <f>IF('Tillegg- Inndata Øvrige'!AB88="Ja", -0.8*$F90, 0)</f>
        <v>0</v>
      </c>
      <c r="H90" s="330">
        <f>IF('Tillegg- Inndata Øvrige'!AC88="Ja", -0.4*$F90, 0)</f>
        <v>0</v>
      </c>
      <c r="I90" s="330">
        <f>IF('Tillegg- Inndata Øvrige'!AD88="Ja", -1*$F90, 0)</f>
        <v>0</v>
      </c>
      <c r="J90" s="330">
        <f>'Tillegg- Inndata Øvrige'!O88*'Tillegg- Inndata Øvrige'!P88</f>
        <v>0</v>
      </c>
      <c r="K90" s="330">
        <f>MAX(-0.75*(SUM('Tillegg- Res. Det. Øvrige'!F90:J90)),-'Tillegg- Inndata Øvrige'!O88*'Tillegg- Inndata Øvrige'!Q88)</f>
        <v>0</v>
      </c>
      <c r="L90" s="330">
        <f>'Tillegg- Inndata Øvrige'!S88*'Tillegg- Inndata Øvrige'!T88</f>
        <v>0</v>
      </c>
      <c r="M90" s="330">
        <f>MAX(-0.75*(SUM('Tillegg- Res. Det. Øvrige'!F90:I90,L90)),-'Tillegg- Inndata Øvrige'!S88*'Tillegg- Inndata Øvrige'!U88)</f>
        <v>0</v>
      </c>
      <c r="N90" s="331">
        <f>'Tillegg- Inndata Øvrige'!F88</f>
        <v>0</v>
      </c>
      <c r="O90" s="330">
        <f>'Tillegg- Inndata Øvrige'!O88*'Tillegg- Inndata Øvrige'!R88</f>
        <v>0</v>
      </c>
      <c r="P90" s="332">
        <f>'Tillegg- Inndata Øvrige'!S88*'Tillegg- Inndata Øvrige'!V88</f>
        <v>0</v>
      </c>
      <c r="Q90" s="333">
        <f>SUM(F90:J90,L90)*'Tillegg- Inndata Øvrige'!K88</f>
        <v>0</v>
      </c>
      <c r="R90" s="333">
        <f>(K90+M90)*'Tillegg- Inndata Øvrige'!K88</f>
        <v>0</v>
      </c>
      <c r="S90" s="333">
        <f>SUM(N90:P90)*'Tillegg- Inndata Øvrige'!K88</f>
        <v>0</v>
      </c>
      <c r="T90" s="334">
        <f>('Tillegg- Inndata Øvrige'!G88+'Tillegg- Inndata Øvrige'!O88+'Tillegg- Inndata Øvrige'!S88)*'Tillegg- Inndata Øvrige'!K88*Transport_utslipp_til_avfallshånderting_per_kg</f>
        <v>0</v>
      </c>
      <c r="U90" s="330">
        <f>IF('Tillegg- Inndata Øvrige'!E88 = 0, 0, 1.833*'Tillegg- Inndata Øvrige'!X88*'Tillegg- Inndata Øvrige'!K88*('Tillegg- Inndata Øvrige'!G88*('Tillegg- Inndata Øvrige'!L88*0.5+'Tillegg- Inndata Øvrige'!M88*0.8) + (12/44)*('Tillegg- Inndata Øvrige'!O88*'Tillegg- Inndata Øvrige'!Q88+'Tillegg- Inndata Øvrige'!S88*'Tillegg- Inndata Øvrige'!U88)))</f>
        <v>0</v>
      </c>
      <c r="V90" s="335">
        <f>IF('Tillegg- Inndata Øvrige'!G88 = 0, 0,  MAX(-SUM(F90:J90,L90)*'Tillegg- Inndata Øvrige'!L88, -0.114*IF('Tillegg- Inndata Øvrige'!H88 &gt; 49, _xlfn.XLOOKUP(49, År_etter_ferdigstillelse, karbon_opptak_faktor), _xlfn.XLOOKUP('Tillegg- Inndata Øvrige'!H88, År_etter_ferdigstillelse, karbon_opptak_faktor))*'Tillegg- Inndata Øvrige'!G88*'Tillegg- Inndata Øvrige'!L88*0.5))</f>
        <v>0</v>
      </c>
      <c r="W90" s="333">
        <f>IF('Tillegg- Inndata Øvrige'!G88=0,0,IF('Tillegg- Inndata Øvrige'!H88&gt;49,-0.064*'Tillegg- Inndata Øvrige'!G88*'Tillegg- Inndata Øvrige'!N88,-0.037*'Tillegg- Inndata Øvrige'!J88*'Tillegg- Inndata Øvrige'!N88))</f>
        <v>0</v>
      </c>
      <c r="X90" s="331" cm="1">
        <f t="array" ref="X90">IF(SUM(F90:J90,L90)=0, 0, SUM(F90:J90,L90)*(1+'Tillegg-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Y90" s="330" cm="1">
        <f t="array" ref="Y90">IF(X90=0, 0, SUM(K90,M90)*(1+'Tillegg-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Z90" s="336" cm="1">
        <f t="array" ref="Z90">IF(X90=0, 0, SUM(N90:P90)*(1+'Tillegg-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A90" s="336" cm="1">
        <f t="array" ref="AA90">IF(X90=0, 0, ('Tillegg- Inndata Øvrige'!G88+'Tillegg- Inndata Øvrige'!O88+'Tillegg- Inndata Øvrige'!S88)*(1+'Tillegg- Inndata Øvrige'!K88)*Transport_utslipp_til_avfallshånderting_per_kg*IF('Tillegg-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B90" s="334" cm="1">
        <f t="array" ref="AB90">IF(X90=0, 0,1.833*'Tillegg- Inndata Øvrige'!J88*('Tillegg- Inndata Øvrige'!X88*_xlfn.XLOOKUP(IF('Tillegg- Inndata Øvrige'!I88&lt;2,'Tillegg- Inndata Øvrige'!H88,'Tillegg- Inndata Øvrige'!H88*2), År_etter_ferdigstillelse, Faktorer!$Z$7:$Z$58))*('Tillegg- Inndata Øvrige'!L88*0.5+'Tillegg- Inndata Øvrige'!M88*0.8)*_xlfn.XLOOKUP(IF('Tillegg- Inndata Øvrige'!I88&lt;2,'Tillegg- Inndata Øvrige'!H88,'Tillegg- Inndata Øvrige'!H88*2), År_etter_ferdigstillelse,  IF(LEFT('Tillegg- Inndata Øvrige'!B88, 2)= 49, f_tid_x_f_tek_d_0_037, f_tid_x_f_tek_d_0_01)))</f>
        <v>0</v>
      </c>
      <c r="AC90" s="335">
        <f>IF(('Tillegg- Inndata Øvrige'!G88) = 0, 0,('Tillegg- Inndata Øvrige'!G88*((AG90+AI90)*Transport_utslipp_til_avfallshånderting_per_kg)+('Tillegg- Inndata Øvrige'!Z88*'ZERO-B Beregning'!D190)*IF('ZERO-B Beregning'!F191=0,'ZERO-B Beregning'!D191,'ZERO-B Beregning'!F191))*_xlfn.XLOOKUP(51, År_etter_ferdigstillelse, f_tid_x_f_tek_d_0_01))</f>
        <v>0</v>
      </c>
      <c r="AD90" s="337">
        <f>IF(('Tillegg- Inndata Øvrige'!G88) = 0, 0,1.833*('Tillegg- Inndata Øvrige'!G88*('Tillegg- Inndata Øvrige'!L88*0.5+'Tillegg- Inndata Øvrige'!M88*0.8)*AG90*_xlfn.XLOOKUP(51, År_etter_ferdigstillelse,  f_tid_x_f_tek_d_0_01)))</f>
        <v>0</v>
      </c>
      <c r="AE90" s="333" cm="1">
        <f t="array" ref="AE90">IF(('Tillegg- Inndata Øvrige'!G88) = 0, 0,-0.8*('Tillegg- Inndata Øvrige'!G88)*AH90*('Tillegg- Inndata Øvrige'!E88/'Tillegg- Inndata Øvrige'!G88)*_xlfn.XLOOKUP(51, År_etter_ferdigstillelse,  IF(LEFT('Tillegg- Inndata Øvrige'!B88, 2)= 49, f_tid_x_f_tek_d_0_037, f_tid_x_f_tek_d_0_01)))</f>
        <v>0</v>
      </c>
      <c r="AF90" s="338" cm="1">
        <f t="array" ref="AF90">IF(('Tillegg- Inndata Øvrige'!G88) = 0, 0,-0.1*('Tillegg- Inndata Øvrige'!G88)*AI90*('Tillegg- Inndata Øvrige'!E88/'Tillegg- Inndata Øvrige'!G88)*_xlfn.XLOOKUP(51, År_etter_ferdigstillelse,  IF(LEFT('Tillegg- Inndata Øvrige'!B88, 2)= 49, f_tid_x_f_tek_d_0_037, f_tid_x_f_tek_d_0_01)))</f>
        <v>0</v>
      </c>
      <c r="AG90" s="572">
        <f>IF(('Tillegg- Inndata Øvrige'!G88) = 0, 0,'Tillegg- Inndata Øvrige'!X88*Faktorer!$Z$58)</f>
        <v>0</v>
      </c>
      <c r="AH90" s="573">
        <f>IF(('Tillegg- Inndata Øvrige'!G88) = 0, 0,'Tillegg- Inndata Øvrige'!Z88+('Tillegg- Inndata Øvrige'!X88+'Tillegg- Inndata Øvrige'!Y88)*(1-Faktorer!$Z$58)*0.5)</f>
        <v>0</v>
      </c>
      <c r="AI90" s="574">
        <f>IF(('Tillegg- Inndata Øvrige'!G88) = 0, 0,'Tillegg- Inndata Øvrige'!AA88+('Tillegg- Inndata Øvrige'!X88+'Tillegg- Inndata Øvrige'!Y88)*(1-Faktorer!$Z$58)*0.5)</f>
        <v>0</v>
      </c>
      <c r="AK90" s="90">
        <f t="shared" si="2"/>
        <v>0</v>
      </c>
      <c r="AL90" s="91">
        <f>'Tillegg- Res. Det. Øvrige'!N90</f>
        <v>0</v>
      </c>
      <c r="AM90" s="91" t="str">
        <f>IF(F90=0,"",('Tillegg- Inndata Øvrige'!E90+'Tillegg- Inndata Øvrige'!F90)*ROUNDDOWN('Tillegg- Inndata Øvrige'!I90,0)*(1+'Tillegg- Inndata Øvrige'!K90))</f>
        <v/>
      </c>
      <c r="AO90" s="1"/>
    </row>
    <row r="91" spans="2:41">
      <c r="B91" s="327">
        <f>'Tillegg- Inndata Øvrige'!B89</f>
        <v>0</v>
      </c>
      <c r="C91" s="327">
        <f>'Tillegg- Inndata Øvrige'!C89</f>
        <v>0</v>
      </c>
      <c r="D91" s="327">
        <f>'Tillegg- Inndata Øvrige'!D89</f>
        <v>0</v>
      </c>
      <c r="E91" s="421" cm="1">
        <f t="array" ref="E91">SUM(IFERROR(F91:AF91,0))</f>
        <v>0</v>
      </c>
      <c r="F91" s="330">
        <f>'Tillegg- Inndata Øvrige'!E89</f>
        <v>0</v>
      </c>
      <c r="G91" s="330">
        <f>IF('Tillegg- Inndata Øvrige'!AB89="Ja", -0.8*$F91, 0)</f>
        <v>0</v>
      </c>
      <c r="H91" s="330">
        <f>IF('Tillegg- Inndata Øvrige'!AC89="Ja", -0.4*$F91, 0)</f>
        <v>0</v>
      </c>
      <c r="I91" s="330">
        <f>IF('Tillegg- Inndata Øvrige'!AD89="Ja", -1*$F91, 0)</f>
        <v>0</v>
      </c>
      <c r="J91" s="330">
        <f>'Tillegg- Inndata Øvrige'!O89*'Tillegg- Inndata Øvrige'!P89</f>
        <v>0</v>
      </c>
      <c r="K91" s="330">
        <f>MAX(-0.75*(SUM('Tillegg- Res. Det. Øvrige'!F91:J91)),-'Tillegg- Inndata Øvrige'!O89*'Tillegg- Inndata Øvrige'!Q89)</f>
        <v>0</v>
      </c>
      <c r="L91" s="330">
        <f>'Tillegg- Inndata Øvrige'!S89*'Tillegg- Inndata Øvrige'!T89</f>
        <v>0</v>
      </c>
      <c r="M91" s="330">
        <f>MAX(-0.75*(SUM('Tillegg- Res. Det. Øvrige'!F91:I91,L91)),-'Tillegg- Inndata Øvrige'!S89*'Tillegg- Inndata Øvrige'!U89)</f>
        <v>0</v>
      </c>
      <c r="N91" s="331">
        <f>'Tillegg- Inndata Øvrige'!F89</f>
        <v>0</v>
      </c>
      <c r="O91" s="330">
        <f>'Tillegg- Inndata Øvrige'!O89*'Tillegg- Inndata Øvrige'!R89</f>
        <v>0</v>
      </c>
      <c r="P91" s="332">
        <f>'Tillegg- Inndata Øvrige'!S89*'Tillegg- Inndata Øvrige'!V89</f>
        <v>0</v>
      </c>
      <c r="Q91" s="333">
        <f>SUM(F91:J91,L91)*'Tillegg- Inndata Øvrige'!K89</f>
        <v>0</v>
      </c>
      <c r="R91" s="333">
        <f>(K91+M91)*'Tillegg- Inndata Øvrige'!K89</f>
        <v>0</v>
      </c>
      <c r="S91" s="333">
        <f>SUM(N91:P91)*'Tillegg- Inndata Øvrige'!K89</f>
        <v>0</v>
      </c>
      <c r="T91" s="334">
        <f>('Tillegg- Inndata Øvrige'!G89+'Tillegg- Inndata Øvrige'!O89+'Tillegg- Inndata Øvrige'!S89)*'Tillegg- Inndata Øvrige'!K89*Transport_utslipp_til_avfallshånderting_per_kg</f>
        <v>0</v>
      </c>
      <c r="U91" s="330">
        <f>IF('Tillegg- Inndata Øvrige'!E89 = 0, 0, 1.833*'Tillegg- Inndata Øvrige'!X89*'Tillegg- Inndata Øvrige'!K89*('Tillegg- Inndata Øvrige'!G89*('Tillegg- Inndata Øvrige'!L89*0.5+'Tillegg- Inndata Øvrige'!M89*0.8) + (12/44)*('Tillegg- Inndata Øvrige'!O89*'Tillegg- Inndata Øvrige'!Q89+'Tillegg- Inndata Øvrige'!S89*'Tillegg- Inndata Øvrige'!U89)))</f>
        <v>0</v>
      </c>
      <c r="V91" s="335">
        <f>IF('Tillegg- Inndata Øvrige'!G89 = 0, 0,  MAX(-SUM(F91:J91,L91)*'Tillegg- Inndata Øvrige'!L89, -0.114*IF('Tillegg- Inndata Øvrige'!H89 &gt; 49, _xlfn.XLOOKUP(49, År_etter_ferdigstillelse, karbon_opptak_faktor), _xlfn.XLOOKUP('Tillegg- Inndata Øvrige'!H89, År_etter_ferdigstillelse, karbon_opptak_faktor))*'Tillegg- Inndata Øvrige'!G89*'Tillegg- Inndata Øvrige'!L89*0.5))</f>
        <v>0</v>
      </c>
      <c r="W91" s="333">
        <f>IF('Tillegg- Inndata Øvrige'!G89=0,0,IF('Tillegg- Inndata Øvrige'!H89&gt;49,-0.064*'Tillegg- Inndata Øvrige'!G89*'Tillegg- Inndata Øvrige'!N89,-0.037*'Tillegg- Inndata Øvrige'!J89*'Tillegg- Inndata Øvrige'!N89))</f>
        <v>0</v>
      </c>
      <c r="X91" s="331" cm="1">
        <f t="array" ref="X91">IF(SUM(F91:J91,L91)=0, 0, SUM(F91:J91,L91)*(1+'Tillegg-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Y91" s="330" cm="1">
        <f t="array" ref="Y91">IF(X91=0, 0, SUM(K91,M91)*(1+'Tillegg-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Z91" s="336" cm="1">
        <f t="array" ref="Z91">IF(X91=0, 0, SUM(N91:P91)*(1+'Tillegg-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A91" s="336" cm="1">
        <f t="array" ref="AA91">IF(X91=0, 0, ('Tillegg- Inndata Øvrige'!G89+'Tillegg- Inndata Øvrige'!O89+'Tillegg- Inndata Øvrige'!S89)*(1+'Tillegg- Inndata Øvrige'!K89)*Transport_utslipp_til_avfallshånderting_per_kg*IF('Tillegg-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B91" s="334" cm="1">
        <f t="array" ref="AB91">IF(X91=0, 0,1.833*'Tillegg- Inndata Øvrige'!J89*('Tillegg- Inndata Øvrige'!X89*_xlfn.XLOOKUP(IF('Tillegg- Inndata Øvrige'!I89&lt;2,'Tillegg- Inndata Øvrige'!H89,'Tillegg- Inndata Øvrige'!H89*2), År_etter_ferdigstillelse, Faktorer!$Z$7:$Z$58))*('Tillegg- Inndata Øvrige'!L89*0.5+'Tillegg- Inndata Øvrige'!M89*0.8)*_xlfn.XLOOKUP(IF('Tillegg- Inndata Øvrige'!I89&lt;2,'Tillegg- Inndata Øvrige'!H89,'Tillegg- Inndata Øvrige'!H89*2), År_etter_ferdigstillelse,  IF(LEFT('Tillegg- Inndata Øvrige'!B89, 2)= 49, f_tid_x_f_tek_d_0_037, f_tid_x_f_tek_d_0_01)))</f>
        <v>0</v>
      </c>
      <c r="AC91" s="335">
        <f>IF(('Tillegg- Inndata Øvrige'!G89) = 0, 0,('Tillegg- Inndata Øvrige'!G89*((AG91+AI91)*Transport_utslipp_til_avfallshånderting_per_kg)+('Tillegg- Inndata Øvrige'!Z89*'ZERO-B Beregning'!D191)*IF('ZERO-B Beregning'!F192=0,'ZERO-B Beregning'!D192,'ZERO-B Beregning'!F192))*_xlfn.XLOOKUP(51, År_etter_ferdigstillelse, f_tid_x_f_tek_d_0_01))</f>
        <v>0</v>
      </c>
      <c r="AD91" s="337">
        <f>IF(('Tillegg- Inndata Øvrige'!G89) = 0, 0,1.833*('Tillegg- Inndata Øvrige'!G89*('Tillegg- Inndata Øvrige'!L89*0.5+'Tillegg- Inndata Øvrige'!M89*0.8)*AG91*_xlfn.XLOOKUP(51, År_etter_ferdigstillelse,  f_tid_x_f_tek_d_0_01)))</f>
        <v>0</v>
      </c>
      <c r="AE91" s="333" cm="1">
        <f t="array" ref="AE91">IF(('Tillegg- Inndata Øvrige'!G89) = 0, 0,-0.8*('Tillegg- Inndata Øvrige'!G89)*AH91*('Tillegg- Inndata Øvrige'!E89/'Tillegg- Inndata Øvrige'!G89)*_xlfn.XLOOKUP(51, År_etter_ferdigstillelse,  IF(LEFT('Tillegg- Inndata Øvrige'!B89, 2)= 49, f_tid_x_f_tek_d_0_037, f_tid_x_f_tek_d_0_01)))</f>
        <v>0</v>
      </c>
      <c r="AF91" s="338" cm="1">
        <f t="array" ref="AF91">IF(('Tillegg- Inndata Øvrige'!G89) = 0, 0,-0.1*('Tillegg- Inndata Øvrige'!G89)*AI91*('Tillegg- Inndata Øvrige'!E89/'Tillegg- Inndata Øvrige'!G89)*_xlfn.XLOOKUP(51, År_etter_ferdigstillelse,  IF(LEFT('Tillegg- Inndata Øvrige'!B89, 2)= 49, f_tid_x_f_tek_d_0_037, f_tid_x_f_tek_d_0_01)))</f>
        <v>0</v>
      </c>
      <c r="AG91" s="572">
        <f>IF(('Tillegg- Inndata Øvrige'!G89) = 0, 0,'Tillegg- Inndata Øvrige'!X89*Faktorer!$Z$58)</f>
        <v>0</v>
      </c>
      <c r="AH91" s="573">
        <f>IF(('Tillegg- Inndata Øvrige'!G89) = 0, 0,'Tillegg- Inndata Øvrige'!Z89+('Tillegg- Inndata Øvrige'!X89+'Tillegg- Inndata Øvrige'!Y89)*(1-Faktorer!$Z$58)*0.5)</f>
        <v>0</v>
      </c>
      <c r="AI91" s="574">
        <f>IF(('Tillegg- Inndata Øvrige'!G89) = 0, 0,'Tillegg- Inndata Øvrige'!AA89+('Tillegg- Inndata Øvrige'!X89+'Tillegg- Inndata Øvrige'!Y89)*(1-Faktorer!$Z$58)*0.5)</f>
        <v>0</v>
      </c>
      <c r="AK91" s="90">
        <f t="shared" si="2"/>
        <v>0</v>
      </c>
      <c r="AL91" s="91">
        <f>'Tillegg- Res. Det. Øvrige'!N91</f>
        <v>0</v>
      </c>
      <c r="AM91" s="91" t="str">
        <f>IF(F91=0,"",('Tillegg- Inndata Øvrige'!E91+'Tillegg- Inndata Øvrige'!F91)*ROUNDDOWN('Tillegg- Inndata Øvrige'!I91,0)*(1+'Tillegg- Inndata Øvrige'!K91))</f>
        <v/>
      </c>
      <c r="AO91" s="1"/>
    </row>
    <row r="92" spans="2:41">
      <c r="B92" s="327">
        <f>'Tillegg- Inndata Øvrige'!B90</f>
        <v>0</v>
      </c>
      <c r="C92" s="327">
        <f>'Tillegg- Inndata Øvrige'!C90</f>
        <v>0</v>
      </c>
      <c r="D92" s="327">
        <f>'Tillegg- Inndata Øvrige'!D90</f>
        <v>0</v>
      </c>
      <c r="E92" s="421" cm="1">
        <f t="array" ref="E92">SUM(IFERROR(F92:AF92,0))</f>
        <v>0</v>
      </c>
      <c r="F92" s="330">
        <f>'Tillegg- Inndata Øvrige'!E90</f>
        <v>0</v>
      </c>
      <c r="G92" s="330">
        <f>IF('Tillegg- Inndata Øvrige'!AB90="Ja", -0.8*$F92, 0)</f>
        <v>0</v>
      </c>
      <c r="H92" s="330">
        <f>IF('Tillegg- Inndata Øvrige'!AC90="Ja", -0.4*$F92, 0)</f>
        <v>0</v>
      </c>
      <c r="I92" s="330">
        <f>IF('Tillegg- Inndata Øvrige'!AD90="Ja", -1*$F92, 0)</f>
        <v>0</v>
      </c>
      <c r="J92" s="330">
        <f>'Tillegg- Inndata Øvrige'!O90*'Tillegg- Inndata Øvrige'!P90</f>
        <v>0</v>
      </c>
      <c r="K92" s="330">
        <f>MAX(-0.75*(SUM('Tillegg- Res. Det. Øvrige'!F92:J92)),-'Tillegg- Inndata Øvrige'!O90*'Tillegg- Inndata Øvrige'!Q90)</f>
        <v>0</v>
      </c>
      <c r="L92" s="330">
        <f>'Tillegg- Inndata Øvrige'!S90*'Tillegg- Inndata Øvrige'!T90</f>
        <v>0</v>
      </c>
      <c r="M92" s="330">
        <f>MAX(-0.75*(SUM('Tillegg- Res. Det. Øvrige'!F92:I92,L92)),-'Tillegg- Inndata Øvrige'!S90*'Tillegg- Inndata Øvrige'!U90)</f>
        <v>0</v>
      </c>
      <c r="N92" s="331">
        <f>'Tillegg- Inndata Øvrige'!F90</f>
        <v>0</v>
      </c>
      <c r="O92" s="330">
        <f>'Tillegg- Inndata Øvrige'!O90*'Tillegg- Inndata Øvrige'!R90</f>
        <v>0</v>
      </c>
      <c r="P92" s="332">
        <f>'Tillegg- Inndata Øvrige'!S90*'Tillegg- Inndata Øvrige'!V90</f>
        <v>0</v>
      </c>
      <c r="Q92" s="333">
        <f>SUM(F92:J92,L92)*'Tillegg- Inndata Øvrige'!K90</f>
        <v>0</v>
      </c>
      <c r="R92" s="333">
        <f>(K92+M92)*'Tillegg- Inndata Øvrige'!K90</f>
        <v>0</v>
      </c>
      <c r="S92" s="333">
        <f>SUM(N92:P92)*'Tillegg- Inndata Øvrige'!K90</f>
        <v>0</v>
      </c>
      <c r="T92" s="334">
        <f>('Tillegg- Inndata Øvrige'!G90+'Tillegg- Inndata Øvrige'!O90+'Tillegg- Inndata Øvrige'!S90)*'Tillegg- Inndata Øvrige'!K90*Transport_utslipp_til_avfallshånderting_per_kg</f>
        <v>0</v>
      </c>
      <c r="U92" s="330">
        <f>IF('Tillegg- Inndata Øvrige'!E90 = 0, 0, 1.833*'Tillegg- Inndata Øvrige'!X90*'Tillegg- Inndata Øvrige'!K90*('Tillegg- Inndata Øvrige'!G90*('Tillegg- Inndata Øvrige'!L90*0.5+'Tillegg- Inndata Øvrige'!M90*0.8) + (12/44)*('Tillegg- Inndata Øvrige'!O90*'Tillegg- Inndata Øvrige'!Q90+'Tillegg- Inndata Øvrige'!S90*'Tillegg- Inndata Øvrige'!U90)))</f>
        <v>0</v>
      </c>
      <c r="V92" s="335">
        <f>IF('Tillegg- Inndata Øvrige'!G90 = 0, 0,  MAX(-SUM(F92:J92,L92)*'Tillegg- Inndata Øvrige'!L90, -0.114*IF('Tillegg- Inndata Øvrige'!H90 &gt; 49, _xlfn.XLOOKUP(49, År_etter_ferdigstillelse, karbon_opptak_faktor), _xlfn.XLOOKUP('Tillegg- Inndata Øvrige'!H90, År_etter_ferdigstillelse, karbon_opptak_faktor))*'Tillegg- Inndata Øvrige'!G90*'Tillegg- Inndata Øvrige'!L90*0.5))</f>
        <v>0</v>
      </c>
      <c r="W92" s="333">
        <f>IF('Tillegg- Inndata Øvrige'!G90=0,0,IF('Tillegg- Inndata Øvrige'!H90&gt;49,-0.064*'Tillegg- Inndata Øvrige'!G90*'Tillegg- Inndata Øvrige'!N90,-0.037*'Tillegg- Inndata Øvrige'!J90*'Tillegg- Inndata Øvrige'!N90))</f>
        <v>0</v>
      </c>
      <c r="X92" s="331" cm="1">
        <f t="array" ref="X92">IF(SUM(F92:J92,L92)=0, 0, SUM(F92:J92,L92)*(1+'Tillegg-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Y92" s="330" cm="1">
        <f t="array" ref="Y92">IF(X92=0, 0, SUM(K92,M92)*(1+'Tillegg-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Z92" s="336" cm="1">
        <f t="array" ref="Z92">IF(X92=0, 0, SUM(N92:P92)*(1+'Tillegg-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A92" s="336" cm="1">
        <f t="array" ref="AA92">IF(X92=0, 0, ('Tillegg- Inndata Øvrige'!G90+'Tillegg- Inndata Øvrige'!O90+'Tillegg- Inndata Øvrige'!S90)*(1+'Tillegg- Inndata Øvrige'!K90)*Transport_utslipp_til_avfallshånderting_per_kg*IF('Tillegg-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B92" s="334" cm="1">
        <f t="array" ref="AB92">IF(X92=0, 0,1.833*'Tillegg- Inndata Øvrige'!J90*('Tillegg- Inndata Øvrige'!X90*_xlfn.XLOOKUP(IF('Tillegg- Inndata Øvrige'!I90&lt;2,'Tillegg- Inndata Øvrige'!H90,'Tillegg- Inndata Øvrige'!H90*2), År_etter_ferdigstillelse, Faktorer!$Z$7:$Z$58))*('Tillegg- Inndata Øvrige'!L90*0.5+'Tillegg- Inndata Øvrige'!M90*0.8)*_xlfn.XLOOKUP(IF('Tillegg- Inndata Øvrige'!I90&lt;2,'Tillegg- Inndata Øvrige'!H90,'Tillegg- Inndata Øvrige'!H90*2), År_etter_ferdigstillelse,  IF(LEFT('Tillegg- Inndata Øvrige'!B90, 2)= 49, f_tid_x_f_tek_d_0_037, f_tid_x_f_tek_d_0_01)))</f>
        <v>0</v>
      </c>
      <c r="AC92" s="335">
        <f>IF(('Tillegg- Inndata Øvrige'!G90) = 0, 0,('Tillegg- Inndata Øvrige'!G90*((AG92+AI92)*Transport_utslipp_til_avfallshånderting_per_kg)+('Tillegg- Inndata Øvrige'!Z90*'ZERO-B Beregning'!D192)*IF('ZERO-B Beregning'!F193=0,'ZERO-B Beregning'!D193,'ZERO-B Beregning'!F193))*_xlfn.XLOOKUP(51, År_etter_ferdigstillelse, f_tid_x_f_tek_d_0_01))</f>
        <v>0</v>
      </c>
      <c r="AD92" s="337">
        <f>IF(('Tillegg- Inndata Øvrige'!G90) = 0, 0,1.833*('Tillegg- Inndata Øvrige'!G90*('Tillegg- Inndata Øvrige'!L90*0.5+'Tillegg- Inndata Øvrige'!M90*0.8)*AG92*_xlfn.XLOOKUP(51, År_etter_ferdigstillelse,  f_tid_x_f_tek_d_0_01)))</f>
        <v>0</v>
      </c>
      <c r="AE92" s="333" cm="1">
        <f t="array" ref="AE92">IF(('Tillegg- Inndata Øvrige'!G90) = 0, 0,-0.8*('Tillegg- Inndata Øvrige'!G90)*AH92*('Tillegg- Inndata Øvrige'!E90/'Tillegg- Inndata Øvrige'!G90)*_xlfn.XLOOKUP(51, År_etter_ferdigstillelse,  IF(LEFT('Tillegg- Inndata Øvrige'!B90, 2)= 49, f_tid_x_f_tek_d_0_037, f_tid_x_f_tek_d_0_01)))</f>
        <v>0</v>
      </c>
      <c r="AF92" s="338" cm="1">
        <f t="array" ref="AF92">IF(('Tillegg- Inndata Øvrige'!G90) = 0, 0,-0.1*('Tillegg- Inndata Øvrige'!G90)*AI92*('Tillegg- Inndata Øvrige'!E90/'Tillegg- Inndata Øvrige'!G90)*_xlfn.XLOOKUP(51, År_etter_ferdigstillelse,  IF(LEFT('Tillegg- Inndata Øvrige'!B90, 2)= 49, f_tid_x_f_tek_d_0_037, f_tid_x_f_tek_d_0_01)))</f>
        <v>0</v>
      </c>
      <c r="AG92" s="572">
        <f>IF(('Tillegg- Inndata Øvrige'!G90) = 0, 0,'Tillegg- Inndata Øvrige'!X90*Faktorer!$Z$58)</f>
        <v>0</v>
      </c>
      <c r="AH92" s="573">
        <f>IF(('Tillegg- Inndata Øvrige'!G90) = 0, 0,'Tillegg- Inndata Øvrige'!Z90+('Tillegg- Inndata Øvrige'!X90+'Tillegg- Inndata Øvrige'!Y90)*(1-Faktorer!$Z$58)*0.5)</f>
        <v>0</v>
      </c>
      <c r="AI92" s="574">
        <f>IF(('Tillegg- Inndata Øvrige'!G90) = 0, 0,'Tillegg- Inndata Øvrige'!AA90+('Tillegg- Inndata Øvrige'!X90+'Tillegg- Inndata Øvrige'!Y90)*(1-Faktorer!$Z$58)*0.5)</f>
        <v>0</v>
      </c>
      <c r="AK92" s="90">
        <f t="shared" si="2"/>
        <v>0</v>
      </c>
      <c r="AL92" s="91">
        <f>'Tillegg- Res. Det. Øvrige'!N92</f>
        <v>0</v>
      </c>
      <c r="AM92" s="91" t="str">
        <f>IF(F92=0,"",('Tillegg- Inndata Øvrige'!E92+'Tillegg- Inndata Øvrige'!F92)*ROUNDDOWN('Tillegg- Inndata Øvrige'!I92,0)*(1+'Tillegg- Inndata Øvrige'!K92))</f>
        <v/>
      </c>
      <c r="AO92" s="1"/>
    </row>
    <row r="93" spans="2:41">
      <c r="B93" s="327">
        <f>'Tillegg- Inndata Øvrige'!B91</f>
        <v>0</v>
      </c>
      <c r="C93" s="327">
        <f>'Tillegg- Inndata Øvrige'!C91</f>
        <v>0</v>
      </c>
      <c r="D93" s="327">
        <f>'Tillegg- Inndata Øvrige'!D91</f>
        <v>0</v>
      </c>
      <c r="E93" s="421" cm="1">
        <f t="array" ref="E93">SUM(IFERROR(F93:AF93,0))</f>
        <v>0</v>
      </c>
      <c r="F93" s="330">
        <f>'Tillegg- Inndata Øvrige'!E91</f>
        <v>0</v>
      </c>
      <c r="G93" s="330">
        <f>IF('Tillegg- Inndata Øvrige'!AB91="Ja", -0.8*$F93, 0)</f>
        <v>0</v>
      </c>
      <c r="H93" s="330">
        <f>IF('Tillegg- Inndata Øvrige'!AC91="Ja", -0.4*$F93, 0)</f>
        <v>0</v>
      </c>
      <c r="I93" s="330">
        <f>IF('Tillegg- Inndata Øvrige'!AD91="Ja", -1*$F93, 0)</f>
        <v>0</v>
      </c>
      <c r="J93" s="330">
        <f>'Tillegg- Inndata Øvrige'!O91*'Tillegg- Inndata Øvrige'!P91</f>
        <v>0</v>
      </c>
      <c r="K93" s="330">
        <f>MAX(-0.75*(SUM('Tillegg- Res. Det. Øvrige'!F93:J93)),-'Tillegg- Inndata Øvrige'!O91*'Tillegg- Inndata Øvrige'!Q91)</f>
        <v>0</v>
      </c>
      <c r="L93" s="330">
        <f>'Tillegg- Inndata Øvrige'!S91*'Tillegg- Inndata Øvrige'!T91</f>
        <v>0</v>
      </c>
      <c r="M93" s="330">
        <f>MAX(-0.75*(SUM('Tillegg- Res. Det. Øvrige'!F93:I93,L93)),-'Tillegg- Inndata Øvrige'!S91*'Tillegg- Inndata Øvrige'!U91)</f>
        <v>0</v>
      </c>
      <c r="N93" s="331">
        <f>'Tillegg- Inndata Øvrige'!F91</f>
        <v>0</v>
      </c>
      <c r="O93" s="330">
        <f>'Tillegg- Inndata Øvrige'!O91*'Tillegg- Inndata Øvrige'!R91</f>
        <v>0</v>
      </c>
      <c r="P93" s="332">
        <f>'Tillegg- Inndata Øvrige'!S91*'Tillegg- Inndata Øvrige'!V91</f>
        <v>0</v>
      </c>
      <c r="Q93" s="333">
        <f>SUM(F93:J93,L93)*'Tillegg- Inndata Øvrige'!K91</f>
        <v>0</v>
      </c>
      <c r="R93" s="333">
        <f>(K93+M93)*'Tillegg- Inndata Øvrige'!K91</f>
        <v>0</v>
      </c>
      <c r="S93" s="333">
        <f>SUM(N93:P93)*'Tillegg- Inndata Øvrige'!K91</f>
        <v>0</v>
      </c>
      <c r="T93" s="334">
        <f>('Tillegg- Inndata Øvrige'!G91+'Tillegg- Inndata Øvrige'!O91+'Tillegg- Inndata Øvrige'!S91)*'Tillegg- Inndata Øvrige'!K91*Transport_utslipp_til_avfallshånderting_per_kg</f>
        <v>0</v>
      </c>
      <c r="U93" s="330">
        <f>IF('Tillegg- Inndata Øvrige'!E91 = 0, 0, 1.833*'Tillegg- Inndata Øvrige'!X91*'Tillegg- Inndata Øvrige'!K91*('Tillegg- Inndata Øvrige'!G91*('Tillegg- Inndata Øvrige'!L91*0.5+'Tillegg- Inndata Øvrige'!M91*0.8) + (12/44)*('Tillegg- Inndata Øvrige'!O91*'Tillegg- Inndata Øvrige'!Q91+'Tillegg- Inndata Øvrige'!S91*'Tillegg- Inndata Øvrige'!U91)))</f>
        <v>0</v>
      </c>
      <c r="V93" s="335">
        <f>IF('Tillegg- Inndata Øvrige'!G91 = 0, 0,  MAX(-SUM(F93:J93,L93)*'Tillegg- Inndata Øvrige'!L91, -0.114*IF('Tillegg- Inndata Øvrige'!H91 &gt; 49, _xlfn.XLOOKUP(49, År_etter_ferdigstillelse, karbon_opptak_faktor), _xlfn.XLOOKUP('Tillegg- Inndata Øvrige'!H91, År_etter_ferdigstillelse, karbon_opptak_faktor))*'Tillegg- Inndata Øvrige'!G91*'Tillegg- Inndata Øvrige'!L91*0.5))</f>
        <v>0</v>
      </c>
      <c r="W93" s="333">
        <f>IF('Tillegg- Inndata Øvrige'!G91=0,0,IF('Tillegg- Inndata Øvrige'!H91&gt;49,-0.064*'Tillegg- Inndata Øvrige'!G91*'Tillegg- Inndata Øvrige'!N91,-0.037*'Tillegg- Inndata Øvrige'!J91*'Tillegg- Inndata Øvrige'!N91))</f>
        <v>0</v>
      </c>
      <c r="X93" s="331" cm="1">
        <f t="array" ref="X93">IF(SUM(F93:J93,L93)=0, 0, SUM(F93:J93,L93)*(1+'Tillegg-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Y93" s="330" cm="1">
        <f t="array" ref="Y93">IF(X93=0, 0, SUM(K93,M93)*(1+'Tillegg-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Z93" s="336" cm="1">
        <f t="array" ref="Z93">IF(X93=0, 0, SUM(N93:P93)*(1+'Tillegg-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A93" s="336" cm="1">
        <f t="array" ref="AA93">IF(X93=0, 0, ('Tillegg- Inndata Øvrige'!G91+'Tillegg- Inndata Øvrige'!O91+'Tillegg- Inndata Øvrige'!S91)*(1+'Tillegg- Inndata Øvrige'!K91)*Transport_utslipp_til_avfallshånderting_per_kg*IF('Tillegg-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B93" s="334" cm="1">
        <f t="array" ref="AB93">IF(X93=0, 0,1.833*'Tillegg- Inndata Øvrige'!J91*('Tillegg- Inndata Øvrige'!X91*_xlfn.XLOOKUP(IF('Tillegg- Inndata Øvrige'!I91&lt;2,'Tillegg- Inndata Øvrige'!H91,'Tillegg- Inndata Øvrige'!H91*2), År_etter_ferdigstillelse, Faktorer!$Z$7:$Z$58))*('Tillegg- Inndata Øvrige'!L91*0.5+'Tillegg- Inndata Øvrige'!M91*0.8)*_xlfn.XLOOKUP(IF('Tillegg- Inndata Øvrige'!I91&lt;2,'Tillegg- Inndata Øvrige'!H91,'Tillegg- Inndata Øvrige'!H91*2), År_etter_ferdigstillelse,  IF(LEFT('Tillegg- Inndata Øvrige'!B91, 2)= 49, f_tid_x_f_tek_d_0_037, f_tid_x_f_tek_d_0_01)))</f>
        <v>0</v>
      </c>
      <c r="AC93" s="335">
        <f>IF(('Tillegg- Inndata Øvrige'!G91) = 0, 0,('Tillegg- Inndata Øvrige'!G91*((AG93+AI93)*Transport_utslipp_til_avfallshånderting_per_kg)+('Tillegg- Inndata Øvrige'!Z91*'ZERO-B Beregning'!D193)*IF('ZERO-B Beregning'!F194=0,'ZERO-B Beregning'!D194,'ZERO-B Beregning'!F194))*_xlfn.XLOOKUP(51, År_etter_ferdigstillelse, f_tid_x_f_tek_d_0_01))</f>
        <v>0</v>
      </c>
      <c r="AD93" s="337">
        <f>IF(('Tillegg- Inndata Øvrige'!G91) = 0, 0,1.833*('Tillegg- Inndata Øvrige'!G91*('Tillegg- Inndata Øvrige'!L91*0.5+'Tillegg- Inndata Øvrige'!M91*0.8)*AG93*_xlfn.XLOOKUP(51, År_etter_ferdigstillelse,  f_tid_x_f_tek_d_0_01)))</f>
        <v>0</v>
      </c>
      <c r="AE93" s="333" cm="1">
        <f t="array" ref="AE93">IF(('Tillegg- Inndata Øvrige'!G91) = 0, 0,-0.8*('Tillegg- Inndata Øvrige'!G91)*AH93*('Tillegg- Inndata Øvrige'!E91/'Tillegg- Inndata Øvrige'!G91)*_xlfn.XLOOKUP(51, År_etter_ferdigstillelse,  IF(LEFT('Tillegg- Inndata Øvrige'!B91, 2)= 49, f_tid_x_f_tek_d_0_037, f_tid_x_f_tek_d_0_01)))</f>
        <v>0</v>
      </c>
      <c r="AF93" s="338" cm="1">
        <f t="array" ref="AF93">IF(('Tillegg- Inndata Øvrige'!G91) = 0, 0,-0.1*('Tillegg- Inndata Øvrige'!G91)*AI93*('Tillegg- Inndata Øvrige'!E91/'Tillegg- Inndata Øvrige'!G91)*_xlfn.XLOOKUP(51, År_etter_ferdigstillelse,  IF(LEFT('Tillegg- Inndata Øvrige'!B91, 2)= 49, f_tid_x_f_tek_d_0_037, f_tid_x_f_tek_d_0_01)))</f>
        <v>0</v>
      </c>
      <c r="AG93" s="572">
        <f>IF(('Tillegg- Inndata Øvrige'!G91) = 0, 0,'Tillegg- Inndata Øvrige'!X91*Faktorer!$Z$58)</f>
        <v>0</v>
      </c>
      <c r="AH93" s="573">
        <f>IF(('Tillegg- Inndata Øvrige'!G91) = 0, 0,'Tillegg- Inndata Øvrige'!Z91+('Tillegg- Inndata Øvrige'!X91+'Tillegg- Inndata Øvrige'!Y91)*(1-Faktorer!$Z$58)*0.5)</f>
        <v>0</v>
      </c>
      <c r="AI93" s="574">
        <f>IF(('Tillegg- Inndata Øvrige'!G91) = 0, 0,'Tillegg- Inndata Øvrige'!AA91+('Tillegg- Inndata Øvrige'!X91+'Tillegg- Inndata Øvrige'!Y91)*(1-Faktorer!$Z$58)*0.5)</f>
        <v>0</v>
      </c>
      <c r="AK93" s="90">
        <f t="shared" si="2"/>
        <v>0</v>
      </c>
      <c r="AL93" s="91">
        <f>'Tillegg- Res. Det. Øvrige'!N93</f>
        <v>0</v>
      </c>
      <c r="AM93" s="91" t="str">
        <f>IF(F93=0,"",('Tillegg- Inndata Øvrige'!E93+'Tillegg- Inndata Øvrige'!F93)*ROUNDDOWN('Tillegg- Inndata Øvrige'!I93,0)*(1+'Tillegg- Inndata Øvrige'!K93))</f>
        <v/>
      </c>
      <c r="AO93" s="1"/>
    </row>
    <row r="94" spans="2:41">
      <c r="B94" s="327">
        <f>'Tillegg- Inndata Øvrige'!B92</f>
        <v>0</v>
      </c>
      <c r="C94" s="327">
        <f>'Tillegg- Inndata Øvrige'!C92</f>
        <v>0</v>
      </c>
      <c r="D94" s="327">
        <f>'Tillegg- Inndata Øvrige'!D92</f>
        <v>0</v>
      </c>
      <c r="E94" s="421" cm="1">
        <f t="array" ref="E94">SUM(IFERROR(F94:AF94,0))</f>
        <v>0</v>
      </c>
      <c r="F94" s="330">
        <f>'Tillegg- Inndata Øvrige'!E92</f>
        <v>0</v>
      </c>
      <c r="G94" s="330">
        <f>IF('Tillegg- Inndata Øvrige'!AB92="Ja", -0.8*$F94, 0)</f>
        <v>0</v>
      </c>
      <c r="H94" s="330">
        <f>IF('Tillegg- Inndata Øvrige'!AC92="Ja", -0.4*$F94, 0)</f>
        <v>0</v>
      </c>
      <c r="I94" s="330">
        <f>IF('Tillegg- Inndata Øvrige'!AD92="Ja", -1*$F94, 0)</f>
        <v>0</v>
      </c>
      <c r="J94" s="330">
        <f>'Tillegg- Inndata Øvrige'!O92*'Tillegg- Inndata Øvrige'!P92</f>
        <v>0</v>
      </c>
      <c r="K94" s="330">
        <f>MAX(-0.75*(SUM('Tillegg- Res. Det. Øvrige'!F94:J94)),-'Tillegg- Inndata Øvrige'!O92*'Tillegg- Inndata Øvrige'!Q92)</f>
        <v>0</v>
      </c>
      <c r="L94" s="330">
        <f>'Tillegg- Inndata Øvrige'!S92*'Tillegg- Inndata Øvrige'!T92</f>
        <v>0</v>
      </c>
      <c r="M94" s="330">
        <f>MAX(-0.75*(SUM('Tillegg- Res. Det. Øvrige'!F94:I94,L94)),-'Tillegg- Inndata Øvrige'!S92*'Tillegg- Inndata Øvrige'!U92)</f>
        <v>0</v>
      </c>
      <c r="N94" s="331">
        <f>'Tillegg- Inndata Øvrige'!F92</f>
        <v>0</v>
      </c>
      <c r="O94" s="330">
        <f>'Tillegg- Inndata Øvrige'!O92*'Tillegg- Inndata Øvrige'!R92</f>
        <v>0</v>
      </c>
      <c r="P94" s="332">
        <f>'Tillegg- Inndata Øvrige'!S92*'Tillegg- Inndata Øvrige'!V92</f>
        <v>0</v>
      </c>
      <c r="Q94" s="333">
        <f>SUM(F94:J94,L94)*'Tillegg- Inndata Øvrige'!K92</f>
        <v>0</v>
      </c>
      <c r="R94" s="333">
        <f>(K94+M94)*'Tillegg- Inndata Øvrige'!K92</f>
        <v>0</v>
      </c>
      <c r="S94" s="333">
        <f>SUM(N94:P94)*'Tillegg- Inndata Øvrige'!K92</f>
        <v>0</v>
      </c>
      <c r="T94" s="334">
        <f>('Tillegg- Inndata Øvrige'!G92+'Tillegg- Inndata Øvrige'!O92+'Tillegg- Inndata Øvrige'!S92)*'Tillegg- Inndata Øvrige'!K92*Transport_utslipp_til_avfallshånderting_per_kg</f>
        <v>0</v>
      </c>
      <c r="U94" s="330">
        <f>IF('Tillegg- Inndata Øvrige'!E92 = 0, 0, 1.833*'Tillegg- Inndata Øvrige'!X92*'Tillegg- Inndata Øvrige'!K92*('Tillegg- Inndata Øvrige'!G92*('Tillegg- Inndata Øvrige'!L92*0.5+'Tillegg- Inndata Øvrige'!M92*0.8) + (12/44)*('Tillegg- Inndata Øvrige'!O92*'Tillegg- Inndata Øvrige'!Q92+'Tillegg- Inndata Øvrige'!S92*'Tillegg- Inndata Øvrige'!U92)))</f>
        <v>0</v>
      </c>
      <c r="V94" s="335">
        <f>IF('Tillegg- Inndata Øvrige'!G92 = 0, 0,  MAX(-SUM(F94:J94,L94)*'Tillegg- Inndata Øvrige'!L92, -0.114*IF('Tillegg- Inndata Øvrige'!H92 &gt; 49, _xlfn.XLOOKUP(49, År_etter_ferdigstillelse, karbon_opptak_faktor), _xlfn.XLOOKUP('Tillegg- Inndata Øvrige'!H92, År_etter_ferdigstillelse, karbon_opptak_faktor))*'Tillegg- Inndata Øvrige'!G92*'Tillegg- Inndata Øvrige'!L92*0.5))</f>
        <v>0</v>
      </c>
      <c r="W94" s="333">
        <f>IF('Tillegg- Inndata Øvrige'!G92=0,0,IF('Tillegg- Inndata Øvrige'!H92&gt;49,-0.064*'Tillegg- Inndata Øvrige'!G92*'Tillegg- Inndata Øvrige'!N92,-0.037*'Tillegg- Inndata Øvrige'!J92*'Tillegg- Inndata Øvrige'!N92))</f>
        <v>0</v>
      </c>
      <c r="X94" s="331" cm="1">
        <f t="array" ref="X94">IF(SUM(F94:J94,L94)=0, 0, SUM(F94:J94,L94)*(1+'Tillegg-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Y94" s="330" cm="1">
        <f t="array" ref="Y94">IF(X94=0, 0, SUM(K94,M94)*(1+'Tillegg-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Z94" s="336" cm="1">
        <f t="array" ref="Z94">IF(X94=0, 0, SUM(N94:P94)*(1+'Tillegg-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A94" s="336" cm="1">
        <f t="array" ref="AA94">IF(X94=0, 0, ('Tillegg- Inndata Øvrige'!G92+'Tillegg- Inndata Øvrige'!O92+'Tillegg- Inndata Øvrige'!S92)*(1+'Tillegg- Inndata Øvrige'!K92)*Transport_utslipp_til_avfallshånderting_per_kg*IF('Tillegg-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B94" s="334" cm="1">
        <f t="array" ref="AB94">IF(X94=0, 0,1.833*'Tillegg- Inndata Øvrige'!J92*('Tillegg- Inndata Øvrige'!X92*_xlfn.XLOOKUP(IF('Tillegg- Inndata Øvrige'!I92&lt;2,'Tillegg- Inndata Øvrige'!H92,'Tillegg- Inndata Øvrige'!H92*2), År_etter_ferdigstillelse, Faktorer!$Z$7:$Z$58))*('Tillegg- Inndata Øvrige'!L92*0.5+'Tillegg- Inndata Øvrige'!M92*0.8)*_xlfn.XLOOKUP(IF('Tillegg- Inndata Øvrige'!I92&lt;2,'Tillegg- Inndata Øvrige'!H92,'Tillegg- Inndata Øvrige'!H92*2), År_etter_ferdigstillelse,  IF(LEFT('Tillegg- Inndata Øvrige'!B92, 2)= 49, f_tid_x_f_tek_d_0_037, f_tid_x_f_tek_d_0_01)))</f>
        <v>0</v>
      </c>
      <c r="AC94" s="335">
        <f>IF(('Tillegg- Inndata Øvrige'!G92) = 0, 0,('Tillegg- Inndata Øvrige'!G92*((AG94+AI94)*Transport_utslipp_til_avfallshånderting_per_kg)+('Tillegg- Inndata Øvrige'!Z92*'ZERO-B Beregning'!D194)*IF('ZERO-B Beregning'!F195=0,'ZERO-B Beregning'!D195,'ZERO-B Beregning'!F195))*_xlfn.XLOOKUP(51, År_etter_ferdigstillelse, f_tid_x_f_tek_d_0_01))</f>
        <v>0</v>
      </c>
      <c r="AD94" s="337">
        <f>IF(('Tillegg- Inndata Øvrige'!G92) = 0, 0,1.833*('Tillegg- Inndata Øvrige'!G92*('Tillegg- Inndata Øvrige'!L92*0.5+'Tillegg- Inndata Øvrige'!M92*0.8)*AG94*_xlfn.XLOOKUP(51, År_etter_ferdigstillelse,  f_tid_x_f_tek_d_0_01)))</f>
        <v>0</v>
      </c>
      <c r="AE94" s="333" cm="1">
        <f t="array" ref="AE94">IF(('Tillegg- Inndata Øvrige'!G92) = 0, 0,-0.8*('Tillegg- Inndata Øvrige'!G92)*AH94*('Tillegg- Inndata Øvrige'!E92/'Tillegg- Inndata Øvrige'!G92)*_xlfn.XLOOKUP(51, År_etter_ferdigstillelse,  IF(LEFT('Tillegg- Inndata Øvrige'!B92, 2)= 49, f_tid_x_f_tek_d_0_037, f_tid_x_f_tek_d_0_01)))</f>
        <v>0</v>
      </c>
      <c r="AF94" s="338" cm="1">
        <f t="array" ref="AF94">IF(('Tillegg- Inndata Øvrige'!G92) = 0, 0,-0.1*('Tillegg- Inndata Øvrige'!G92)*AI94*('Tillegg- Inndata Øvrige'!E92/'Tillegg- Inndata Øvrige'!G92)*_xlfn.XLOOKUP(51, År_etter_ferdigstillelse,  IF(LEFT('Tillegg- Inndata Øvrige'!B92, 2)= 49, f_tid_x_f_tek_d_0_037, f_tid_x_f_tek_d_0_01)))</f>
        <v>0</v>
      </c>
      <c r="AG94" s="572">
        <f>IF(('Tillegg- Inndata Øvrige'!G92) = 0, 0,'Tillegg- Inndata Øvrige'!X92*Faktorer!$Z$58)</f>
        <v>0</v>
      </c>
      <c r="AH94" s="573">
        <f>IF(('Tillegg- Inndata Øvrige'!G92) = 0, 0,'Tillegg- Inndata Øvrige'!Z92+('Tillegg- Inndata Øvrige'!X92+'Tillegg- Inndata Øvrige'!Y92)*(1-Faktorer!$Z$58)*0.5)</f>
        <v>0</v>
      </c>
      <c r="AI94" s="574">
        <f>IF(('Tillegg- Inndata Øvrige'!G92) = 0, 0,'Tillegg- Inndata Øvrige'!AA92+('Tillegg- Inndata Øvrige'!X92+'Tillegg- Inndata Øvrige'!Y92)*(1-Faktorer!$Z$58)*0.5)</f>
        <v>0</v>
      </c>
      <c r="AK94" s="90">
        <f t="shared" si="2"/>
        <v>0</v>
      </c>
      <c r="AL94" s="91">
        <f>'Tillegg- Res. Det. Øvrige'!N94</f>
        <v>0</v>
      </c>
      <c r="AM94" s="91" t="str">
        <f>IF(F94=0,"",('Tillegg- Inndata Øvrige'!E94+'Tillegg- Inndata Øvrige'!F94)*ROUNDDOWN('Tillegg- Inndata Øvrige'!I94,0)*(1+'Tillegg- Inndata Øvrige'!K94))</f>
        <v/>
      </c>
      <c r="AO94" s="1"/>
    </row>
    <row r="95" spans="2:41">
      <c r="B95" s="327">
        <f>'Tillegg- Inndata Øvrige'!B93</f>
        <v>0</v>
      </c>
      <c r="C95" s="327">
        <f>'Tillegg- Inndata Øvrige'!C93</f>
        <v>0</v>
      </c>
      <c r="D95" s="327">
        <f>'Tillegg- Inndata Øvrige'!D93</f>
        <v>0</v>
      </c>
      <c r="E95" s="421" cm="1">
        <f t="array" ref="E95">SUM(IFERROR(F95:AF95,0))</f>
        <v>0</v>
      </c>
      <c r="F95" s="330">
        <f>'Tillegg- Inndata Øvrige'!E93</f>
        <v>0</v>
      </c>
      <c r="G95" s="330">
        <f>IF('Tillegg- Inndata Øvrige'!AB93="Ja", -0.8*$F95, 0)</f>
        <v>0</v>
      </c>
      <c r="H95" s="330">
        <f>IF('Tillegg- Inndata Øvrige'!AC93="Ja", -0.4*$F95, 0)</f>
        <v>0</v>
      </c>
      <c r="I95" s="330">
        <f>IF('Tillegg- Inndata Øvrige'!AD93="Ja", -1*$F95, 0)</f>
        <v>0</v>
      </c>
      <c r="J95" s="330">
        <f>'Tillegg- Inndata Øvrige'!O93*'Tillegg- Inndata Øvrige'!P93</f>
        <v>0</v>
      </c>
      <c r="K95" s="330">
        <f>MAX(-0.75*(SUM('Tillegg- Res. Det. Øvrige'!F95:J95)),-'Tillegg- Inndata Øvrige'!O93*'Tillegg- Inndata Øvrige'!Q93)</f>
        <v>0</v>
      </c>
      <c r="L95" s="330">
        <f>'Tillegg- Inndata Øvrige'!S93*'Tillegg- Inndata Øvrige'!T93</f>
        <v>0</v>
      </c>
      <c r="M95" s="330">
        <f>MAX(-0.75*(SUM('Tillegg- Res. Det. Øvrige'!F95:I95,L95)),-'Tillegg- Inndata Øvrige'!S93*'Tillegg- Inndata Øvrige'!U93)</f>
        <v>0</v>
      </c>
      <c r="N95" s="331">
        <f>'Tillegg- Inndata Øvrige'!F93</f>
        <v>0</v>
      </c>
      <c r="O95" s="330">
        <f>'Tillegg- Inndata Øvrige'!O93*'Tillegg- Inndata Øvrige'!R93</f>
        <v>0</v>
      </c>
      <c r="P95" s="332">
        <f>'Tillegg- Inndata Øvrige'!S93*'Tillegg- Inndata Øvrige'!V93</f>
        <v>0</v>
      </c>
      <c r="Q95" s="333">
        <f>SUM(F95:J95,L95)*'Tillegg- Inndata Øvrige'!K93</f>
        <v>0</v>
      </c>
      <c r="R95" s="333">
        <f>(K95+M95)*'Tillegg- Inndata Øvrige'!K93</f>
        <v>0</v>
      </c>
      <c r="S95" s="333">
        <f>SUM(N95:P95)*'Tillegg- Inndata Øvrige'!K93</f>
        <v>0</v>
      </c>
      <c r="T95" s="334">
        <f>('Tillegg- Inndata Øvrige'!G93+'Tillegg- Inndata Øvrige'!O93+'Tillegg- Inndata Øvrige'!S93)*'Tillegg- Inndata Øvrige'!K93*Transport_utslipp_til_avfallshånderting_per_kg</f>
        <v>0</v>
      </c>
      <c r="U95" s="330">
        <f>IF('Tillegg- Inndata Øvrige'!E93 = 0, 0, 1.833*'Tillegg- Inndata Øvrige'!X93*'Tillegg- Inndata Øvrige'!K93*('Tillegg- Inndata Øvrige'!G93*('Tillegg- Inndata Øvrige'!L93*0.5+'Tillegg- Inndata Øvrige'!M93*0.8) + (12/44)*('Tillegg- Inndata Øvrige'!O93*'Tillegg- Inndata Øvrige'!Q93+'Tillegg- Inndata Øvrige'!S93*'Tillegg- Inndata Øvrige'!U93)))</f>
        <v>0</v>
      </c>
      <c r="V95" s="335">
        <f>IF('Tillegg- Inndata Øvrige'!G93 = 0, 0,  MAX(-SUM(F95:J95,L95)*'Tillegg- Inndata Øvrige'!L93, -0.114*IF('Tillegg- Inndata Øvrige'!H93 &gt; 49, _xlfn.XLOOKUP(49, År_etter_ferdigstillelse, karbon_opptak_faktor), _xlfn.XLOOKUP('Tillegg- Inndata Øvrige'!H93, År_etter_ferdigstillelse, karbon_opptak_faktor))*'Tillegg- Inndata Øvrige'!G93*'Tillegg- Inndata Øvrige'!L93*0.5))</f>
        <v>0</v>
      </c>
      <c r="W95" s="333">
        <f>IF('Tillegg- Inndata Øvrige'!G93=0,0,IF('Tillegg- Inndata Øvrige'!H93&gt;49,-0.064*'Tillegg- Inndata Øvrige'!G93*'Tillegg- Inndata Øvrige'!N93,-0.037*'Tillegg- Inndata Øvrige'!J93*'Tillegg- Inndata Øvrige'!N93))</f>
        <v>0</v>
      </c>
      <c r="X95" s="331" cm="1">
        <f t="array" ref="X95">IF(SUM(F95:J95,L95)=0, 0, SUM(F95:J95,L95)*(1+'Tillegg-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Y95" s="330" cm="1">
        <f t="array" ref="Y95">IF(X95=0, 0, SUM(K95,M95)*(1+'Tillegg-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Z95" s="336" cm="1">
        <f t="array" ref="Z95">IF(X95=0, 0, SUM(N95:P95)*(1+'Tillegg-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A95" s="336" cm="1">
        <f t="array" ref="AA95">IF(X95=0, 0, ('Tillegg- Inndata Øvrige'!G93+'Tillegg- Inndata Øvrige'!O93+'Tillegg- Inndata Øvrige'!S93)*(1+'Tillegg- Inndata Øvrige'!K93)*Transport_utslipp_til_avfallshånderting_per_kg*IF('Tillegg-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B95" s="334" cm="1">
        <f t="array" ref="AB95">IF(X95=0, 0,1.833*'Tillegg- Inndata Øvrige'!J93*('Tillegg- Inndata Øvrige'!X93*_xlfn.XLOOKUP(IF('Tillegg- Inndata Øvrige'!I93&lt;2,'Tillegg- Inndata Øvrige'!H93,'Tillegg- Inndata Øvrige'!H93*2), År_etter_ferdigstillelse, Faktorer!$Z$7:$Z$58))*('Tillegg- Inndata Øvrige'!L93*0.5+'Tillegg- Inndata Øvrige'!M93*0.8)*_xlfn.XLOOKUP(IF('Tillegg- Inndata Øvrige'!I93&lt;2,'Tillegg- Inndata Øvrige'!H93,'Tillegg- Inndata Øvrige'!H93*2), År_etter_ferdigstillelse,  IF(LEFT('Tillegg- Inndata Øvrige'!B93, 2)= 49, f_tid_x_f_tek_d_0_037, f_tid_x_f_tek_d_0_01)))</f>
        <v>0</v>
      </c>
      <c r="AC95" s="335">
        <f>IF(('Tillegg- Inndata Øvrige'!G93) = 0, 0,('Tillegg- Inndata Øvrige'!G93*((AG95+AI95)*Transport_utslipp_til_avfallshånderting_per_kg)+('Tillegg- Inndata Øvrige'!Z93*'ZERO-B Beregning'!D195)*IF('ZERO-B Beregning'!F196=0,'ZERO-B Beregning'!D196,'ZERO-B Beregning'!F196))*_xlfn.XLOOKUP(51, År_etter_ferdigstillelse, f_tid_x_f_tek_d_0_01))</f>
        <v>0</v>
      </c>
      <c r="AD95" s="337">
        <f>IF(('Tillegg- Inndata Øvrige'!G93) = 0, 0,1.833*('Tillegg- Inndata Øvrige'!G93*('Tillegg- Inndata Øvrige'!L93*0.5+'Tillegg- Inndata Øvrige'!M93*0.8)*AG95*_xlfn.XLOOKUP(51, År_etter_ferdigstillelse,  f_tid_x_f_tek_d_0_01)))</f>
        <v>0</v>
      </c>
      <c r="AE95" s="333" cm="1">
        <f t="array" ref="AE95">IF(('Tillegg- Inndata Øvrige'!G93) = 0, 0,-0.8*('Tillegg- Inndata Øvrige'!G93)*AH95*('Tillegg- Inndata Øvrige'!E93/'Tillegg- Inndata Øvrige'!G93)*_xlfn.XLOOKUP(51, År_etter_ferdigstillelse,  IF(LEFT('Tillegg- Inndata Øvrige'!B93, 2)= 49, f_tid_x_f_tek_d_0_037, f_tid_x_f_tek_d_0_01)))</f>
        <v>0</v>
      </c>
      <c r="AF95" s="338" cm="1">
        <f t="array" ref="AF95">IF(('Tillegg- Inndata Øvrige'!G93) = 0, 0,-0.1*('Tillegg- Inndata Øvrige'!G93)*AI95*('Tillegg- Inndata Øvrige'!E93/'Tillegg- Inndata Øvrige'!G93)*_xlfn.XLOOKUP(51, År_etter_ferdigstillelse,  IF(LEFT('Tillegg- Inndata Øvrige'!B93, 2)= 49, f_tid_x_f_tek_d_0_037, f_tid_x_f_tek_d_0_01)))</f>
        <v>0</v>
      </c>
      <c r="AG95" s="572">
        <f>IF(('Tillegg- Inndata Øvrige'!G93) = 0, 0,'Tillegg- Inndata Øvrige'!X93*Faktorer!$Z$58)</f>
        <v>0</v>
      </c>
      <c r="AH95" s="573">
        <f>IF(('Tillegg- Inndata Øvrige'!G93) = 0, 0,'Tillegg- Inndata Øvrige'!Z93+('Tillegg- Inndata Øvrige'!X93+'Tillegg- Inndata Øvrige'!Y93)*(1-Faktorer!$Z$58)*0.5)</f>
        <v>0</v>
      </c>
      <c r="AI95" s="574">
        <f>IF(('Tillegg- Inndata Øvrige'!G93) = 0, 0,'Tillegg- Inndata Øvrige'!AA93+('Tillegg- Inndata Øvrige'!X93+'Tillegg- Inndata Øvrige'!Y93)*(1-Faktorer!$Z$58)*0.5)</f>
        <v>0</v>
      </c>
      <c r="AK95" s="90">
        <f t="shared" si="2"/>
        <v>0</v>
      </c>
      <c r="AL95" s="91">
        <f>'Tillegg- Res. Det. Øvrige'!N95</f>
        <v>0</v>
      </c>
      <c r="AM95" s="91" t="str">
        <f>IF(F95=0,"",('Tillegg- Inndata Øvrige'!E95+'Tillegg- Inndata Øvrige'!F95)*ROUNDDOWN('Tillegg- Inndata Øvrige'!I95,0)*(1+'Tillegg- Inndata Øvrige'!K95))</f>
        <v/>
      </c>
      <c r="AO95" s="1"/>
    </row>
    <row r="96" spans="2:41">
      <c r="B96" s="327">
        <f>'Tillegg- Inndata Øvrige'!B94</f>
        <v>0</v>
      </c>
      <c r="C96" s="327">
        <f>'Tillegg- Inndata Øvrige'!C94</f>
        <v>0</v>
      </c>
      <c r="D96" s="327">
        <f>'Tillegg- Inndata Øvrige'!D94</f>
        <v>0</v>
      </c>
      <c r="E96" s="421" cm="1">
        <f t="array" ref="E96">SUM(IFERROR(F96:AF96,0))</f>
        <v>0</v>
      </c>
      <c r="F96" s="330">
        <f>'Tillegg- Inndata Øvrige'!E94</f>
        <v>0</v>
      </c>
      <c r="G96" s="330">
        <f>IF('Tillegg- Inndata Øvrige'!AB94="Ja", -0.8*$F96, 0)</f>
        <v>0</v>
      </c>
      <c r="H96" s="330">
        <f>IF('Tillegg- Inndata Øvrige'!AC94="Ja", -0.4*$F96, 0)</f>
        <v>0</v>
      </c>
      <c r="I96" s="330">
        <f>IF('Tillegg- Inndata Øvrige'!AD94="Ja", -1*$F96, 0)</f>
        <v>0</v>
      </c>
      <c r="J96" s="330">
        <f>'Tillegg- Inndata Øvrige'!O94*'Tillegg- Inndata Øvrige'!P94</f>
        <v>0</v>
      </c>
      <c r="K96" s="330">
        <f>MAX(-0.75*(SUM('Tillegg- Res. Det. Øvrige'!F96:J96)),-'Tillegg- Inndata Øvrige'!O94*'Tillegg- Inndata Øvrige'!Q94)</f>
        <v>0</v>
      </c>
      <c r="L96" s="330">
        <f>'Tillegg- Inndata Øvrige'!S94*'Tillegg- Inndata Øvrige'!T94</f>
        <v>0</v>
      </c>
      <c r="M96" s="330">
        <f>MAX(-0.75*(SUM('Tillegg- Res. Det. Øvrige'!F96:I96,L96)),-'Tillegg- Inndata Øvrige'!S94*'Tillegg- Inndata Øvrige'!U94)</f>
        <v>0</v>
      </c>
      <c r="N96" s="331">
        <f>'Tillegg- Inndata Øvrige'!F94</f>
        <v>0</v>
      </c>
      <c r="O96" s="330">
        <f>'Tillegg- Inndata Øvrige'!O94*'Tillegg- Inndata Øvrige'!R94</f>
        <v>0</v>
      </c>
      <c r="P96" s="332">
        <f>'Tillegg- Inndata Øvrige'!S94*'Tillegg- Inndata Øvrige'!V94</f>
        <v>0</v>
      </c>
      <c r="Q96" s="333">
        <f>SUM(F96:J96,L96)*'Tillegg- Inndata Øvrige'!K94</f>
        <v>0</v>
      </c>
      <c r="R96" s="333">
        <f>(K96+M96)*'Tillegg- Inndata Øvrige'!K94</f>
        <v>0</v>
      </c>
      <c r="S96" s="333">
        <f>SUM(N96:P96)*'Tillegg- Inndata Øvrige'!K94</f>
        <v>0</v>
      </c>
      <c r="T96" s="334">
        <f>('Tillegg- Inndata Øvrige'!G94+'Tillegg- Inndata Øvrige'!O94+'Tillegg- Inndata Øvrige'!S94)*'Tillegg- Inndata Øvrige'!K94*Transport_utslipp_til_avfallshånderting_per_kg</f>
        <v>0</v>
      </c>
      <c r="U96" s="330">
        <f>IF('Tillegg- Inndata Øvrige'!E94 = 0, 0, 1.833*'Tillegg- Inndata Øvrige'!X94*'Tillegg- Inndata Øvrige'!K94*('Tillegg- Inndata Øvrige'!G94*('Tillegg- Inndata Øvrige'!L94*0.5+'Tillegg- Inndata Øvrige'!M94*0.8) + (12/44)*('Tillegg- Inndata Øvrige'!O94*'Tillegg- Inndata Øvrige'!Q94+'Tillegg- Inndata Øvrige'!S94*'Tillegg- Inndata Øvrige'!U94)))</f>
        <v>0</v>
      </c>
      <c r="V96" s="335">
        <f>IF('Tillegg- Inndata Øvrige'!G94 = 0, 0,  MAX(-SUM(F96:J96,L96)*'Tillegg- Inndata Øvrige'!L94, -0.114*IF('Tillegg- Inndata Øvrige'!H94 &gt; 49, _xlfn.XLOOKUP(49, År_etter_ferdigstillelse, karbon_opptak_faktor), _xlfn.XLOOKUP('Tillegg- Inndata Øvrige'!H94, År_etter_ferdigstillelse, karbon_opptak_faktor))*'Tillegg- Inndata Øvrige'!G94*'Tillegg- Inndata Øvrige'!L94*0.5))</f>
        <v>0</v>
      </c>
      <c r="W96" s="333">
        <f>IF('Tillegg- Inndata Øvrige'!G94=0,0,IF('Tillegg- Inndata Øvrige'!H94&gt;49,-0.064*'Tillegg- Inndata Øvrige'!G94*'Tillegg- Inndata Øvrige'!N94,-0.037*'Tillegg- Inndata Øvrige'!J94*'Tillegg- Inndata Øvrige'!N94))</f>
        <v>0</v>
      </c>
      <c r="X96" s="331" cm="1">
        <f t="array" ref="X96">IF(SUM(F96:J96,L96)=0, 0, SUM(F96:J96,L96)*(1+'Tillegg-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Y96" s="330" cm="1">
        <f t="array" ref="Y96">IF(X96=0, 0, SUM(K96,M96)*(1+'Tillegg-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Z96" s="336" cm="1">
        <f t="array" ref="Z96">IF(X96=0, 0, SUM(N96:P96)*(1+'Tillegg-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A96" s="336" cm="1">
        <f t="array" ref="AA96">IF(X96=0, 0, ('Tillegg- Inndata Øvrige'!G94+'Tillegg- Inndata Øvrige'!O94+'Tillegg- Inndata Øvrige'!S94)*(1+'Tillegg- Inndata Øvrige'!K94)*Transport_utslipp_til_avfallshånderting_per_kg*IF('Tillegg-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B96" s="334" cm="1">
        <f t="array" ref="AB96">IF(X96=0, 0,1.833*'Tillegg- Inndata Øvrige'!J94*('Tillegg- Inndata Øvrige'!X94*_xlfn.XLOOKUP(IF('Tillegg- Inndata Øvrige'!I94&lt;2,'Tillegg- Inndata Øvrige'!H94,'Tillegg- Inndata Øvrige'!H94*2), År_etter_ferdigstillelse, Faktorer!$Z$7:$Z$58))*('Tillegg- Inndata Øvrige'!L94*0.5+'Tillegg- Inndata Øvrige'!M94*0.8)*_xlfn.XLOOKUP(IF('Tillegg- Inndata Øvrige'!I94&lt;2,'Tillegg- Inndata Øvrige'!H94,'Tillegg- Inndata Øvrige'!H94*2), År_etter_ferdigstillelse,  IF(LEFT('Tillegg- Inndata Øvrige'!B94, 2)= 49, f_tid_x_f_tek_d_0_037, f_tid_x_f_tek_d_0_01)))</f>
        <v>0</v>
      </c>
      <c r="AC96" s="335">
        <f>IF(('Tillegg- Inndata Øvrige'!G94) = 0, 0,('Tillegg- Inndata Øvrige'!G94*((AG96+AI96)*Transport_utslipp_til_avfallshånderting_per_kg)+('Tillegg- Inndata Øvrige'!Z94*'ZERO-B Beregning'!D196)*IF('ZERO-B Beregning'!F197=0,'ZERO-B Beregning'!D197,'ZERO-B Beregning'!F197))*_xlfn.XLOOKUP(51, År_etter_ferdigstillelse, f_tid_x_f_tek_d_0_01))</f>
        <v>0</v>
      </c>
      <c r="AD96" s="337">
        <f>IF(('Tillegg- Inndata Øvrige'!G94) = 0, 0,1.833*('Tillegg- Inndata Øvrige'!G94*('Tillegg- Inndata Øvrige'!L94*0.5+'Tillegg- Inndata Øvrige'!M94*0.8)*AG96*_xlfn.XLOOKUP(51, År_etter_ferdigstillelse,  f_tid_x_f_tek_d_0_01)))</f>
        <v>0</v>
      </c>
      <c r="AE96" s="333" cm="1">
        <f t="array" ref="AE96">IF(('Tillegg- Inndata Øvrige'!G94) = 0, 0,-0.8*('Tillegg- Inndata Øvrige'!G94)*AH96*('Tillegg- Inndata Øvrige'!E94/'Tillegg- Inndata Øvrige'!G94)*_xlfn.XLOOKUP(51, År_etter_ferdigstillelse,  IF(LEFT('Tillegg- Inndata Øvrige'!B94, 2)= 49, f_tid_x_f_tek_d_0_037, f_tid_x_f_tek_d_0_01)))</f>
        <v>0</v>
      </c>
      <c r="AF96" s="338" cm="1">
        <f t="array" ref="AF96">IF(('Tillegg- Inndata Øvrige'!G94) = 0, 0,-0.1*('Tillegg- Inndata Øvrige'!G94)*AI96*('Tillegg- Inndata Øvrige'!E94/'Tillegg- Inndata Øvrige'!G94)*_xlfn.XLOOKUP(51, År_etter_ferdigstillelse,  IF(LEFT('Tillegg- Inndata Øvrige'!B94, 2)= 49, f_tid_x_f_tek_d_0_037, f_tid_x_f_tek_d_0_01)))</f>
        <v>0</v>
      </c>
      <c r="AG96" s="572">
        <f>IF(('Tillegg- Inndata Øvrige'!G94) = 0, 0,'Tillegg- Inndata Øvrige'!X94*Faktorer!$Z$58)</f>
        <v>0</v>
      </c>
      <c r="AH96" s="573">
        <f>IF(('Tillegg- Inndata Øvrige'!G94) = 0, 0,'Tillegg- Inndata Øvrige'!Z94+('Tillegg- Inndata Øvrige'!X94+'Tillegg- Inndata Øvrige'!Y94)*(1-Faktorer!$Z$58)*0.5)</f>
        <v>0</v>
      </c>
      <c r="AI96" s="574">
        <f>IF(('Tillegg- Inndata Øvrige'!G94) = 0, 0,'Tillegg- Inndata Øvrige'!AA94+('Tillegg- Inndata Øvrige'!X94+'Tillegg- Inndata Øvrige'!Y94)*(1-Faktorer!$Z$58)*0.5)</f>
        <v>0</v>
      </c>
      <c r="AK96" s="90">
        <f t="shared" si="2"/>
        <v>0</v>
      </c>
      <c r="AL96" s="91">
        <f>'Tillegg- Res. Det. Øvrige'!N96</f>
        <v>0</v>
      </c>
      <c r="AM96" s="91" t="str">
        <f>IF(F96=0,"",('Tillegg- Inndata Øvrige'!E96+'Tillegg- Inndata Øvrige'!F96)*ROUNDDOWN('Tillegg- Inndata Øvrige'!I96,0)*(1+'Tillegg- Inndata Øvrige'!K96))</f>
        <v/>
      </c>
      <c r="AO96" s="1"/>
    </row>
    <row r="97" spans="2:41">
      <c r="B97" s="327">
        <f>'Tillegg- Inndata Øvrige'!B95</f>
        <v>0</v>
      </c>
      <c r="C97" s="327">
        <f>'Tillegg- Inndata Øvrige'!C95</f>
        <v>0</v>
      </c>
      <c r="D97" s="327">
        <f>'Tillegg- Inndata Øvrige'!D95</f>
        <v>0</v>
      </c>
      <c r="E97" s="421" cm="1">
        <f t="array" ref="E97">SUM(IFERROR(F97:AF97,0))</f>
        <v>0</v>
      </c>
      <c r="F97" s="330">
        <f>'Tillegg- Inndata Øvrige'!E95</f>
        <v>0</v>
      </c>
      <c r="G97" s="330">
        <f>IF('Tillegg- Inndata Øvrige'!AB95="Ja", -0.8*$F97, 0)</f>
        <v>0</v>
      </c>
      <c r="H97" s="330">
        <f>IF('Tillegg- Inndata Øvrige'!AC95="Ja", -0.4*$F97, 0)</f>
        <v>0</v>
      </c>
      <c r="I97" s="330">
        <f>IF('Tillegg- Inndata Øvrige'!AD95="Ja", -1*$F97, 0)</f>
        <v>0</v>
      </c>
      <c r="J97" s="330">
        <f>'Tillegg- Inndata Øvrige'!O95*'Tillegg- Inndata Øvrige'!P95</f>
        <v>0</v>
      </c>
      <c r="K97" s="330">
        <f>MAX(-0.75*(SUM('Tillegg- Res. Det. Øvrige'!F97:J97)),-'Tillegg- Inndata Øvrige'!O95*'Tillegg- Inndata Øvrige'!Q95)</f>
        <v>0</v>
      </c>
      <c r="L97" s="330">
        <f>'Tillegg- Inndata Øvrige'!S95*'Tillegg- Inndata Øvrige'!T95</f>
        <v>0</v>
      </c>
      <c r="M97" s="330">
        <f>MAX(-0.75*(SUM('Tillegg- Res. Det. Øvrige'!F97:I97,L97)),-'Tillegg- Inndata Øvrige'!S95*'Tillegg- Inndata Øvrige'!U95)</f>
        <v>0</v>
      </c>
      <c r="N97" s="331">
        <f>'Tillegg- Inndata Øvrige'!F95</f>
        <v>0</v>
      </c>
      <c r="O97" s="330">
        <f>'Tillegg- Inndata Øvrige'!O95*'Tillegg- Inndata Øvrige'!R95</f>
        <v>0</v>
      </c>
      <c r="P97" s="332">
        <f>'Tillegg- Inndata Øvrige'!S95*'Tillegg- Inndata Øvrige'!V95</f>
        <v>0</v>
      </c>
      <c r="Q97" s="333">
        <f>SUM(F97:J97,L97)*'Tillegg- Inndata Øvrige'!K95</f>
        <v>0</v>
      </c>
      <c r="R97" s="333">
        <f>(K97+M97)*'Tillegg- Inndata Øvrige'!K95</f>
        <v>0</v>
      </c>
      <c r="S97" s="333">
        <f>SUM(N97:P97)*'Tillegg- Inndata Øvrige'!K95</f>
        <v>0</v>
      </c>
      <c r="T97" s="334">
        <f>('Tillegg- Inndata Øvrige'!G95+'Tillegg- Inndata Øvrige'!O95+'Tillegg- Inndata Øvrige'!S95)*'Tillegg- Inndata Øvrige'!K95*Transport_utslipp_til_avfallshånderting_per_kg</f>
        <v>0</v>
      </c>
      <c r="U97" s="330">
        <f>IF('Tillegg- Inndata Øvrige'!E95 = 0, 0, 1.833*'Tillegg- Inndata Øvrige'!X95*'Tillegg- Inndata Øvrige'!K95*('Tillegg- Inndata Øvrige'!G95*('Tillegg- Inndata Øvrige'!L95*0.5+'Tillegg- Inndata Øvrige'!M95*0.8) + (12/44)*('Tillegg- Inndata Øvrige'!O95*'Tillegg- Inndata Øvrige'!Q95+'Tillegg- Inndata Øvrige'!S95*'Tillegg- Inndata Øvrige'!U95)))</f>
        <v>0</v>
      </c>
      <c r="V97" s="335">
        <f>IF('Tillegg- Inndata Øvrige'!G95 = 0, 0,  MAX(-SUM(F97:J97,L97)*'Tillegg- Inndata Øvrige'!L95, -0.114*IF('Tillegg- Inndata Øvrige'!H95 &gt; 49, _xlfn.XLOOKUP(49, År_etter_ferdigstillelse, karbon_opptak_faktor), _xlfn.XLOOKUP('Tillegg- Inndata Øvrige'!H95, År_etter_ferdigstillelse, karbon_opptak_faktor))*'Tillegg- Inndata Øvrige'!G95*'Tillegg- Inndata Øvrige'!L95*0.5))</f>
        <v>0</v>
      </c>
      <c r="W97" s="333">
        <f>IF('Tillegg- Inndata Øvrige'!G95=0,0,IF('Tillegg- Inndata Øvrige'!H95&gt;49,-0.064*'Tillegg- Inndata Øvrige'!G95*'Tillegg- Inndata Øvrige'!N95,-0.037*'Tillegg- Inndata Øvrige'!J95*'Tillegg- Inndata Øvrige'!N95))</f>
        <v>0</v>
      </c>
      <c r="X97" s="331" cm="1">
        <f t="array" ref="X97">IF(SUM(F97:J97,L97)=0, 0, SUM(F97:J97,L97)*(1+'Tillegg-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Y97" s="330" cm="1">
        <f t="array" ref="Y97">IF(X97=0, 0, SUM(K97,M97)*(1+'Tillegg-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Z97" s="336" cm="1">
        <f t="array" ref="Z97">IF(X97=0, 0, SUM(N97:P97)*(1+'Tillegg-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A97" s="336" cm="1">
        <f t="array" ref="AA97">IF(X97=0, 0, ('Tillegg- Inndata Øvrige'!G95+'Tillegg- Inndata Øvrige'!O95+'Tillegg- Inndata Øvrige'!S95)*(1+'Tillegg- Inndata Øvrige'!K95)*Transport_utslipp_til_avfallshånderting_per_kg*IF('Tillegg-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B97" s="334" cm="1">
        <f t="array" ref="AB97">IF(X97=0, 0,1.833*'Tillegg- Inndata Øvrige'!J95*('Tillegg- Inndata Øvrige'!X95*_xlfn.XLOOKUP(IF('Tillegg- Inndata Øvrige'!I95&lt;2,'Tillegg- Inndata Øvrige'!H95,'Tillegg- Inndata Øvrige'!H95*2), År_etter_ferdigstillelse, Faktorer!$Z$7:$Z$58))*('Tillegg- Inndata Øvrige'!L95*0.5+'Tillegg- Inndata Øvrige'!M95*0.8)*_xlfn.XLOOKUP(IF('Tillegg- Inndata Øvrige'!I95&lt;2,'Tillegg- Inndata Øvrige'!H95,'Tillegg- Inndata Øvrige'!H95*2), År_etter_ferdigstillelse,  IF(LEFT('Tillegg- Inndata Øvrige'!B95, 2)= 49, f_tid_x_f_tek_d_0_037, f_tid_x_f_tek_d_0_01)))</f>
        <v>0</v>
      </c>
      <c r="AC97" s="335">
        <f>IF(('Tillegg- Inndata Øvrige'!G95) = 0, 0,('Tillegg- Inndata Øvrige'!G95*((AG97+AI97)*Transport_utslipp_til_avfallshånderting_per_kg)+('Tillegg- Inndata Øvrige'!Z95*'ZERO-B Beregning'!D197)*IF('ZERO-B Beregning'!F198=0,'ZERO-B Beregning'!D198,'ZERO-B Beregning'!F198))*_xlfn.XLOOKUP(51, År_etter_ferdigstillelse, f_tid_x_f_tek_d_0_01))</f>
        <v>0</v>
      </c>
      <c r="AD97" s="337">
        <f>IF(('Tillegg- Inndata Øvrige'!G95) = 0, 0,1.833*('Tillegg- Inndata Øvrige'!G95*('Tillegg- Inndata Øvrige'!L95*0.5+'Tillegg- Inndata Øvrige'!M95*0.8)*AG97*_xlfn.XLOOKUP(51, År_etter_ferdigstillelse,  f_tid_x_f_tek_d_0_01)))</f>
        <v>0</v>
      </c>
      <c r="AE97" s="333" cm="1">
        <f t="array" ref="AE97">IF(('Tillegg- Inndata Øvrige'!G95) = 0, 0,-0.8*('Tillegg- Inndata Øvrige'!G95)*AH97*('Tillegg- Inndata Øvrige'!E95/'Tillegg- Inndata Øvrige'!G95)*_xlfn.XLOOKUP(51, År_etter_ferdigstillelse,  IF(LEFT('Tillegg- Inndata Øvrige'!B95, 2)= 49, f_tid_x_f_tek_d_0_037, f_tid_x_f_tek_d_0_01)))</f>
        <v>0</v>
      </c>
      <c r="AF97" s="338" cm="1">
        <f t="array" ref="AF97">IF(('Tillegg- Inndata Øvrige'!G95) = 0, 0,-0.1*('Tillegg- Inndata Øvrige'!G95)*AI97*('Tillegg- Inndata Øvrige'!E95/'Tillegg- Inndata Øvrige'!G95)*_xlfn.XLOOKUP(51, År_etter_ferdigstillelse,  IF(LEFT('Tillegg- Inndata Øvrige'!B95, 2)= 49, f_tid_x_f_tek_d_0_037, f_tid_x_f_tek_d_0_01)))</f>
        <v>0</v>
      </c>
      <c r="AG97" s="572">
        <f>IF(('Tillegg- Inndata Øvrige'!G95) = 0, 0,'Tillegg- Inndata Øvrige'!X95*Faktorer!$Z$58)</f>
        <v>0</v>
      </c>
      <c r="AH97" s="573">
        <f>IF(('Tillegg- Inndata Øvrige'!G95) = 0, 0,'Tillegg- Inndata Øvrige'!Z95+('Tillegg- Inndata Øvrige'!X95+'Tillegg- Inndata Øvrige'!Y95)*(1-Faktorer!$Z$58)*0.5)</f>
        <v>0</v>
      </c>
      <c r="AI97" s="574">
        <f>IF(('Tillegg- Inndata Øvrige'!G95) = 0, 0,'Tillegg- Inndata Øvrige'!AA95+('Tillegg- Inndata Øvrige'!X95+'Tillegg- Inndata Øvrige'!Y95)*(1-Faktorer!$Z$58)*0.5)</f>
        <v>0</v>
      </c>
      <c r="AK97" s="90">
        <f t="shared" si="2"/>
        <v>0</v>
      </c>
      <c r="AL97" s="91">
        <f>'Tillegg- Res. Det. Øvrige'!N97</f>
        <v>0</v>
      </c>
      <c r="AM97" s="91" t="str">
        <f>IF(F97=0,"",('Tillegg- Inndata Øvrige'!E97+'Tillegg- Inndata Øvrige'!F97)*ROUNDDOWN('Tillegg- Inndata Øvrige'!I97,0)*(1+'Tillegg- Inndata Øvrige'!K97))</f>
        <v/>
      </c>
      <c r="AO97" s="1"/>
    </row>
    <row r="98" spans="2:41">
      <c r="B98" s="327">
        <f>'Tillegg- Inndata Øvrige'!B96</f>
        <v>0</v>
      </c>
      <c r="C98" s="327">
        <f>'Tillegg- Inndata Øvrige'!C96</f>
        <v>0</v>
      </c>
      <c r="D98" s="327">
        <f>'Tillegg- Inndata Øvrige'!D96</f>
        <v>0</v>
      </c>
      <c r="E98" s="421" cm="1">
        <f t="array" ref="E98">SUM(IFERROR(F98:AF98,0))</f>
        <v>0</v>
      </c>
      <c r="F98" s="330">
        <f>'Tillegg- Inndata Øvrige'!E96</f>
        <v>0</v>
      </c>
      <c r="G98" s="330">
        <f>IF('Tillegg- Inndata Øvrige'!AB96="Ja", -0.8*$F98, 0)</f>
        <v>0</v>
      </c>
      <c r="H98" s="330">
        <f>IF('Tillegg- Inndata Øvrige'!AC96="Ja", -0.4*$F98, 0)</f>
        <v>0</v>
      </c>
      <c r="I98" s="330">
        <f>IF('Tillegg- Inndata Øvrige'!AD96="Ja", -1*$F98, 0)</f>
        <v>0</v>
      </c>
      <c r="J98" s="330">
        <f>'Tillegg- Inndata Øvrige'!O96*'Tillegg- Inndata Øvrige'!P96</f>
        <v>0</v>
      </c>
      <c r="K98" s="330">
        <f>MAX(-0.75*(SUM('Tillegg- Res. Det. Øvrige'!F98:J98)),-'Tillegg- Inndata Øvrige'!O96*'Tillegg- Inndata Øvrige'!Q96)</f>
        <v>0</v>
      </c>
      <c r="L98" s="330">
        <f>'Tillegg- Inndata Øvrige'!S96*'Tillegg- Inndata Øvrige'!T96</f>
        <v>0</v>
      </c>
      <c r="M98" s="330">
        <f>MAX(-0.75*(SUM('Tillegg- Res. Det. Øvrige'!F98:I98,L98)),-'Tillegg- Inndata Øvrige'!S96*'Tillegg- Inndata Øvrige'!U96)</f>
        <v>0</v>
      </c>
      <c r="N98" s="331">
        <f>'Tillegg- Inndata Øvrige'!F96</f>
        <v>0</v>
      </c>
      <c r="O98" s="330">
        <f>'Tillegg- Inndata Øvrige'!O96*'Tillegg- Inndata Øvrige'!R96</f>
        <v>0</v>
      </c>
      <c r="P98" s="332">
        <f>'Tillegg- Inndata Øvrige'!S96*'Tillegg- Inndata Øvrige'!V96</f>
        <v>0</v>
      </c>
      <c r="Q98" s="333">
        <f>SUM(F98:J98,L98)*'Tillegg- Inndata Øvrige'!K96</f>
        <v>0</v>
      </c>
      <c r="R98" s="333">
        <f>(K98+M98)*'Tillegg- Inndata Øvrige'!K96</f>
        <v>0</v>
      </c>
      <c r="S98" s="333">
        <f>SUM(N98:P98)*'Tillegg- Inndata Øvrige'!K96</f>
        <v>0</v>
      </c>
      <c r="T98" s="334">
        <f>('Tillegg- Inndata Øvrige'!G96+'Tillegg- Inndata Øvrige'!O96+'Tillegg- Inndata Øvrige'!S96)*'Tillegg- Inndata Øvrige'!K96*Transport_utslipp_til_avfallshånderting_per_kg</f>
        <v>0</v>
      </c>
      <c r="U98" s="330">
        <f>IF('Tillegg- Inndata Øvrige'!E96 = 0, 0, 1.833*'Tillegg- Inndata Øvrige'!X96*'Tillegg- Inndata Øvrige'!K96*('Tillegg- Inndata Øvrige'!G96*('Tillegg- Inndata Øvrige'!L96*0.5+'Tillegg- Inndata Øvrige'!M96*0.8) + (12/44)*('Tillegg- Inndata Øvrige'!O96*'Tillegg- Inndata Øvrige'!Q96+'Tillegg- Inndata Øvrige'!S96*'Tillegg- Inndata Øvrige'!U96)))</f>
        <v>0</v>
      </c>
      <c r="V98" s="335">
        <f>IF('Tillegg- Inndata Øvrige'!G96 = 0, 0,  MAX(-SUM(F98:J98,L98)*'Tillegg- Inndata Øvrige'!L96, -0.114*IF('Tillegg- Inndata Øvrige'!H96 &gt; 49, _xlfn.XLOOKUP(49, År_etter_ferdigstillelse, karbon_opptak_faktor), _xlfn.XLOOKUP('Tillegg- Inndata Øvrige'!H96, År_etter_ferdigstillelse, karbon_opptak_faktor))*'Tillegg- Inndata Øvrige'!G96*'Tillegg- Inndata Øvrige'!L96*0.5))</f>
        <v>0</v>
      </c>
      <c r="W98" s="333">
        <f>IF('Tillegg- Inndata Øvrige'!G96=0,0,IF('Tillegg- Inndata Øvrige'!H96&gt;49,-0.064*'Tillegg- Inndata Øvrige'!G96*'Tillegg- Inndata Øvrige'!N96,-0.037*'Tillegg- Inndata Øvrige'!J96*'Tillegg- Inndata Øvrige'!N96))</f>
        <v>0</v>
      </c>
      <c r="X98" s="331" cm="1">
        <f t="array" ref="X98">IF(SUM(F98:J98,L98)=0, 0, SUM(F98:J98,L98)*(1+'Tillegg-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Y98" s="330" cm="1">
        <f t="array" ref="Y98">IF(X98=0, 0, SUM(K98,M98)*(1+'Tillegg-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Z98" s="336" cm="1">
        <f t="array" ref="Z98">IF(X98=0, 0, SUM(N98:P98)*(1+'Tillegg-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A98" s="336" cm="1">
        <f t="array" ref="AA98">IF(X98=0, 0, ('Tillegg- Inndata Øvrige'!G96+'Tillegg- Inndata Øvrige'!O96+'Tillegg- Inndata Øvrige'!S96)*(1+'Tillegg- Inndata Øvrige'!K96)*Transport_utslipp_til_avfallshånderting_per_kg*IF('Tillegg-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B98" s="334" cm="1">
        <f t="array" ref="AB98">IF(X98=0, 0,1.833*'Tillegg- Inndata Øvrige'!J96*('Tillegg- Inndata Øvrige'!X96*_xlfn.XLOOKUP(IF('Tillegg- Inndata Øvrige'!I96&lt;2,'Tillegg- Inndata Øvrige'!H96,'Tillegg- Inndata Øvrige'!H96*2), År_etter_ferdigstillelse, Faktorer!$Z$7:$Z$58))*('Tillegg- Inndata Øvrige'!L96*0.5+'Tillegg- Inndata Øvrige'!M96*0.8)*_xlfn.XLOOKUP(IF('Tillegg- Inndata Øvrige'!I96&lt;2,'Tillegg- Inndata Øvrige'!H96,'Tillegg- Inndata Øvrige'!H96*2), År_etter_ferdigstillelse,  IF(LEFT('Tillegg- Inndata Øvrige'!B96, 2)= 49, f_tid_x_f_tek_d_0_037, f_tid_x_f_tek_d_0_01)))</f>
        <v>0</v>
      </c>
      <c r="AC98" s="335">
        <f>IF(('Tillegg- Inndata Øvrige'!G96) = 0, 0,('Tillegg- Inndata Øvrige'!G96*((AG98+AI98)*Transport_utslipp_til_avfallshånderting_per_kg)+('Tillegg- Inndata Øvrige'!Z96*'ZERO-B Beregning'!D198)*IF('ZERO-B Beregning'!F199=0,'ZERO-B Beregning'!D199,'ZERO-B Beregning'!F199))*_xlfn.XLOOKUP(51, År_etter_ferdigstillelse, f_tid_x_f_tek_d_0_01))</f>
        <v>0</v>
      </c>
      <c r="AD98" s="337">
        <f>IF(('Tillegg- Inndata Øvrige'!G96) = 0, 0,1.833*('Tillegg- Inndata Øvrige'!G96*('Tillegg- Inndata Øvrige'!L96*0.5+'Tillegg- Inndata Øvrige'!M96*0.8)*AG98*_xlfn.XLOOKUP(51, År_etter_ferdigstillelse,  f_tid_x_f_tek_d_0_01)))</f>
        <v>0</v>
      </c>
      <c r="AE98" s="333" cm="1">
        <f t="array" ref="AE98">IF(('Tillegg- Inndata Øvrige'!G96) = 0, 0,-0.8*('Tillegg- Inndata Øvrige'!G96)*AH98*('Tillegg- Inndata Øvrige'!E96/'Tillegg- Inndata Øvrige'!G96)*_xlfn.XLOOKUP(51, År_etter_ferdigstillelse,  IF(LEFT('Tillegg- Inndata Øvrige'!B96, 2)= 49, f_tid_x_f_tek_d_0_037, f_tid_x_f_tek_d_0_01)))</f>
        <v>0</v>
      </c>
      <c r="AF98" s="338" cm="1">
        <f t="array" ref="AF98">IF(('Tillegg- Inndata Øvrige'!G96) = 0, 0,-0.1*('Tillegg- Inndata Øvrige'!G96)*AI98*('Tillegg- Inndata Øvrige'!E96/'Tillegg- Inndata Øvrige'!G96)*_xlfn.XLOOKUP(51, År_etter_ferdigstillelse,  IF(LEFT('Tillegg- Inndata Øvrige'!B96, 2)= 49, f_tid_x_f_tek_d_0_037, f_tid_x_f_tek_d_0_01)))</f>
        <v>0</v>
      </c>
      <c r="AG98" s="572">
        <f>IF(('Tillegg- Inndata Øvrige'!G96) = 0, 0,'Tillegg- Inndata Øvrige'!X96*Faktorer!$Z$58)</f>
        <v>0</v>
      </c>
      <c r="AH98" s="573">
        <f>IF(('Tillegg- Inndata Øvrige'!G96) = 0, 0,'Tillegg- Inndata Øvrige'!Z96+('Tillegg- Inndata Øvrige'!X96+'Tillegg- Inndata Øvrige'!Y96)*(1-Faktorer!$Z$58)*0.5)</f>
        <v>0</v>
      </c>
      <c r="AI98" s="574">
        <f>IF(('Tillegg- Inndata Øvrige'!G96) = 0, 0,'Tillegg- Inndata Øvrige'!AA96+('Tillegg- Inndata Øvrige'!X96+'Tillegg- Inndata Øvrige'!Y96)*(1-Faktorer!$Z$58)*0.5)</f>
        <v>0</v>
      </c>
      <c r="AK98" s="90">
        <f t="shared" si="2"/>
        <v>0</v>
      </c>
      <c r="AL98" s="91">
        <f>'Tillegg- Res. Det. Øvrige'!N98</f>
        <v>0</v>
      </c>
      <c r="AM98" s="91" t="str">
        <f>IF(F98=0,"",('Tillegg- Inndata Øvrige'!E98+'Tillegg- Inndata Øvrige'!F98)*ROUNDDOWN('Tillegg- Inndata Øvrige'!I98,0)*(1+'Tillegg- Inndata Øvrige'!K98))</f>
        <v/>
      </c>
      <c r="AO98" s="1"/>
    </row>
    <row r="99" spans="2:41">
      <c r="B99" s="327">
        <f>'Tillegg- Inndata Øvrige'!B97</f>
        <v>0</v>
      </c>
      <c r="C99" s="327">
        <f>'Tillegg- Inndata Øvrige'!C97</f>
        <v>0</v>
      </c>
      <c r="D99" s="327">
        <f>'Tillegg- Inndata Øvrige'!D97</f>
        <v>0</v>
      </c>
      <c r="E99" s="421" cm="1">
        <f t="array" ref="E99">SUM(IFERROR(F99:AF99,0))</f>
        <v>0</v>
      </c>
      <c r="F99" s="330">
        <f>'Tillegg- Inndata Øvrige'!E97</f>
        <v>0</v>
      </c>
      <c r="G99" s="330">
        <f>IF('Tillegg- Inndata Øvrige'!AB97="Ja", -0.8*$F99, 0)</f>
        <v>0</v>
      </c>
      <c r="H99" s="330">
        <f>IF('Tillegg- Inndata Øvrige'!AC97="Ja", -0.4*$F99, 0)</f>
        <v>0</v>
      </c>
      <c r="I99" s="330">
        <f>IF('Tillegg- Inndata Øvrige'!AD97="Ja", -1*$F99, 0)</f>
        <v>0</v>
      </c>
      <c r="J99" s="330">
        <f>'Tillegg- Inndata Øvrige'!O97*'Tillegg- Inndata Øvrige'!P97</f>
        <v>0</v>
      </c>
      <c r="K99" s="330">
        <f>MAX(-0.75*(SUM('Tillegg- Res. Det. Øvrige'!F99:J99)),-'Tillegg- Inndata Øvrige'!O97*'Tillegg- Inndata Øvrige'!Q97)</f>
        <v>0</v>
      </c>
      <c r="L99" s="330">
        <f>'Tillegg- Inndata Øvrige'!S97*'Tillegg- Inndata Øvrige'!T97</f>
        <v>0</v>
      </c>
      <c r="M99" s="330">
        <f>MAX(-0.75*(SUM('Tillegg- Res. Det. Øvrige'!F99:I99,L99)),-'Tillegg- Inndata Øvrige'!S97*'Tillegg- Inndata Øvrige'!U97)</f>
        <v>0</v>
      </c>
      <c r="N99" s="331">
        <f>'Tillegg- Inndata Øvrige'!F97</f>
        <v>0</v>
      </c>
      <c r="O99" s="330">
        <f>'Tillegg- Inndata Øvrige'!O97*'Tillegg- Inndata Øvrige'!R97</f>
        <v>0</v>
      </c>
      <c r="P99" s="332">
        <f>'Tillegg- Inndata Øvrige'!S97*'Tillegg- Inndata Øvrige'!V97</f>
        <v>0</v>
      </c>
      <c r="Q99" s="333">
        <f>SUM(F99:J99,L99)*'Tillegg- Inndata Øvrige'!K97</f>
        <v>0</v>
      </c>
      <c r="R99" s="333">
        <f>(K99+M99)*'Tillegg- Inndata Øvrige'!K97</f>
        <v>0</v>
      </c>
      <c r="S99" s="333">
        <f>SUM(N99:P99)*'Tillegg- Inndata Øvrige'!K97</f>
        <v>0</v>
      </c>
      <c r="T99" s="334">
        <f>('Tillegg- Inndata Øvrige'!G97+'Tillegg- Inndata Øvrige'!O97+'Tillegg- Inndata Øvrige'!S97)*'Tillegg- Inndata Øvrige'!K97*Transport_utslipp_til_avfallshånderting_per_kg</f>
        <v>0</v>
      </c>
      <c r="U99" s="330">
        <f>IF('Tillegg- Inndata Øvrige'!E97 = 0, 0, 1.833*'Tillegg- Inndata Øvrige'!X97*'Tillegg- Inndata Øvrige'!K97*('Tillegg- Inndata Øvrige'!G97*('Tillegg- Inndata Øvrige'!L97*0.5+'Tillegg- Inndata Øvrige'!M97*0.8) + (12/44)*('Tillegg- Inndata Øvrige'!O97*'Tillegg- Inndata Øvrige'!Q97+'Tillegg- Inndata Øvrige'!S97*'Tillegg- Inndata Øvrige'!U97)))</f>
        <v>0</v>
      </c>
      <c r="V99" s="335">
        <f>IF('Tillegg- Inndata Øvrige'!G97 = 0, 0,  MAX(-SUM(F99:J99,L99)*'Tillegg- Inndata Øvrige'!L97, -0.114*IF('Tillegg- Inndata Øvrige'!H97 &gt; 49, _xlfn.XLOOKUP(49, År_etter_ferdigstillelse, karbon_opptak_faktor), _xlfn.XLOOKUP('Tillegg- Inndata Øvrige'!H97, År_etter_ferdigstillelse, karbon_opptak_faktor))*'Tillegg- Inndata Øvrige'!G97*'Tillegg- Inndata Øvrige'!L97*0.5))</f>
        <v>0</v>
      </c>
      <c r="W99" s="333">
        <f>IF('Tillegg- Inndata Øvrige'!G97=0,0,IF('Tillegg- Inndata Øvrige'!H97&gt;49,-0.064*'Tillegg- Inndata Øvrige'!G97*'Tillegg- Inndata Øvrige'!N97,-0.037*'Tillegg- Inndata Øvrige'!J97*'Tillegg- Inndata Øvrige'!N97))</f>
        <v>0</v>
      </c>
      <c r="X99" s="331" cm="1">
        <f t="array" ref="X99">IF(SUM(F99:J99,L99)=0, 0, SUM(F99:J99,L99)*(1+'Tillegg-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Y99" s="330" cm="1">
        <f t="array" ref="Y99">IF(X99=0, 0, SUM(K99,M99)*(1+'Tillegg-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Z99" s="336" cm="1">
        <f t="array" ref="Z99">IF(X99=0, 0, SUM(N99:P99)*(1+'Tillegg-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A99" s="336" cm="1">
        <f t="array" ref="AA99">IF(X99=0, 0, ('Tillegg- Inndata Øvrige'!G97+'Tillegg- Inndata Øvrige'!O97+'Tillegg- Inndata Øvrige'!S97)*(1+'Tillegg- Inndata Øvrige'!K97)*Transport_utslipp_til_avfallshånderting_per_kg*IF('Tillegg-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B99" s="334" cm="1">
        <f t="array" ref="AB99">IF(X99=0, 0,1.833*'Tillegg- Inndata Øvrige'!J97*('Tillegg- Inndata Øvrige'!X97*_xlfn.XLOOKUP(IF('Tillegg- Inndata Øvrige'!I97&lt;2,'Tillegg- Inndata Øvrige'!H97,'Tillegg- Inndata Øvrige'!H97*2), År_etter_ferdigstillelse, Faktorer!$Z$7:$Z$58))*('Tillegg- Inndata Øvrige'!L97*0.5+'Tillegg- Inndata Øvrige'!M97*0.8)*_xlfn.XLOOKUP(IF('Tillegg- Inndata Øvrige'!I97&lt;2,'Tillegg- Inndata Øvrige'!H97,'Tillegg- Inndata Øvrige'!H97*2), År_etter_ferdigstillelse,  IF(LEFT('Tillegg- Inndata Øvrige'!B97, 2)= 49, f_tid_x_f_tek_d_0_037, f_tid_x_f_tek_d_0_01)))</f>
        <v>0</v>
      </c>
      <c r="AC99" s="335">
        <f>IF(('Tillegg- Inndata Øvrige'!G97) = 0, 0,('Tillegg- Inndata Øvrige'!G97*((AG99+AI99)*Transport_utslipp_til_avfallshånderting_per_kg)+('Tillegg- Inndata Øvrige'!Z97*'ZERO-B Beregning'!D199)*IF('ZERO-B Beregning'!F200=0,'ZERO-B Beregning'!D200,'ZERO-B Beregning'!F200))*_xlfn.XLOOKUP(51, År_etter_ferdigstillelse, f_tid_x_f_tek_d_0_01))</f>
        <v>0</v>
      </c>
      <c r="AD99" s="337">
        <f>IF(('Tillegg- Inndata Øvrige'!G97) = 0, 0,1.833*('Tillegg- Inndata Øvrige'!G97*('Tillegg- Inndata Øvrige'!L97*0.5+'Tillegg- Inndata Øvrige'!M97*0.8)*AG99*_xlfn.XLOOKUP(51, År_etter_ferdigstillelse,  f_tid_x_f_tek_d_0_01)))</f>
        <v>0</v>
      </c>
      <c r="AE99" s="333" cm="1">
        <f t="array" ref="AE99">IF(('Tillegg- Inndata Øvrige'!G97) = 0, 0,-0.8*('Tillegg- Inndata Øvrige'!G97)*AH99*('Tillegg- Inndata Øvrige'!E97/'Tillegg- Inndata Øvrige'!G97)*_xlfn.XLOOKUP(51, År_etter_ferdigstillelse,  IF(LEFT('Tillegg- Inndata Øvrige'!B97, 2)= 49, f_tid_x_f_tek_d_0_037, f_tid_x_f_tek_d_0_01)))</f>
        <v>0</v>
      </c>
      <c r="AF99" s="338" cm="1">
        <f t="array" ref="AF99">IF(('Tillegg- Inndata Øvrige'!G97) = 0, 0,-0.1*('Tillegg- Inndata Øvrige'!G97)*AI99*('Tillegg- Inndata Øvrige'!E97/'Tillegg- Inndata Øvrige'!G97)*_xlfn.XLOOKUP(51, År_etter_ferdigstillelse,  IF(LEFT('Tillegg- Inndata Øvrige'!B97, 2)= 49, f_tid_x_f_tek_d_0_037, f_tid_x_f_tek_d_0_01)))</f>
        <v>0</v>
      </c>
      <c r="AG99" s="572">
        <f>IF(('Tillegg- Inndata Øvrige'!G97) = 0, 0,'Tillegg- Inndata Øvrige'!X97*Faktorer!$Z$58)</f>
        <v>0</v>
      </c>
      <c r="AH99" s="573">
        <f>IF(('Tillegg- Inndata Øvrige'!G97) = 0, 0,'Tillegg- Inndata Øvrige'!Z97+('Tillegg- Inndata Øvrige'!X97+'Tillegg- Inndata Øvrige'!Y97)*(1-Faktorer!$Z$58)*0.5)</f>
        <v>0</v>
      </c>
      <c r="AI99" s="574">
        <f>IF(('Tillegg- Inndata Øvrige'!G97) = 0, 0,'Tillegg- Inndata Øvrige'!AA97+('Tillegg- Inndata Øvrige'!X97+'Tillegg- Inndata Øvrige'!Y97)*(1-Faktorer!$Z$58)*0.5)</f>
        <v>0</v>
      </c>
      <c r="AK99" s="90">
        <f t="shared" si="2"/>
        <v>0</v>
      </c>
      <c r="AL99" s="91">
        <f>'Tillegg- Res. Det. Øvrige'!N99</f>
        <v>0</v>
      </c>
      <c r="AM99" s="91" t="str">
        <f>IF(F99=0,"",('Tillegg- Inndata Øvrige'!E99+'Tillegg- Inndata Øvrige'!F99)*ROUNDDOWN('Tillegg- Inndata Øvrige'!I99,0)*(1+'Tillegg- Inndata Øvrige'!K99))</f>
        <v/>
      </c>
      <c r="AO99" s="1"/>
    </row>
    <row r="100" spans="2:41">
      <c r="B100" s="327">
        <f>'Tillegg- Inndata Øvrige'!B98</f>
        <v>0</v>
      </c>
      <c r="C100" s="327">
        <f>'Tillegg- Inndata Øvrige'!C98</f>
        <v>0</v>
      </c>
      <c r="D100" s="327">
        <f>'Tillegg- Inndata Øvrige'!D98</f>
        <v>0</v>
      </c>
      <c r="E100" s="421" cm="1">
        <f t="array" ref="E100">SUM(IFERROR(F100:AF100,0))</f>
        <v>0</v>
      </c>
      <c r="F100" s="330">
        <f>'Tillegg- Inndata Øvrige'!E98</f>
        <v>0</v>
      </c>
      <c r="G100" s="330">
        <f>IF('Tillegg- Inndata Øvrige'!AB98="Ja", -0.8*$F100, 0)</f>
        <v>0</v>
      </c>
      <c r="H100" s="330">
        <f>IF('Tillegg- Inndata Øvrige'!AC98="Ja", -0.4*$F100, 0)</f>
        <v>0</v>
      </c>
      <c r="I100" s="330">
        <f>IF('Tillegg- Inndata Øvrige'!AD98="Ja", -1*$F100, 0)</f>
        <v>0</v>
      </c>
      <c r="J100" s="330">
        <f>'Tillegg- Inndata Øvrige'!O98*'Tillegg- Inndata Øvrige'!P98</f>
        <v>0</v>
      </c>
      <c r="K100" s="330">
        <f>MAX(-0.75*(SUM('Tillegg- Res. Det. Øvrige'!F100:J100)),-'Tillegg- Inndata Øvrige'!O98*'Tillegg- Inndata Øvrige'!Q98)</f>
        <v>0</v>
      </c>
      <c r="L100" s="330">
        <f>'Tillegg- Inndata Øvrige'!S98*'Tillegg- Inndata Øvrige'!T98</f>
        <v>0</v>
      </c>
      <c r="M100" s="330">
        <f>MAX(-0.75*(SUM('Tillegg- Res. Det. Øvrige'!F100:I100,L100)),-'Tillegg- Inndata Øvrige'!S98*'Tillegg- Inndata Øvrige'!U98)</f>
        <v>0</v>
      </c>
      <c r="N100" s="331">
        <f>'Tillegg- Inndata Øvrige'!F98</f>
        <v>0</v>
      </c>
      <c r="O100" s="330">
        <f>'Tillegg- Inndata Øvrige'!O98*'Tillegg- Inndata Øvrige'!R98</f>
        <v>0</v>
      </c>
      <c r="P100" s="332">
        <f>'Tillegg- Inndata Øvrige'!S98*'Tillegg- Inndata Øvrige'!V98</f>
        <v>0</v>
      </c>
      <c r="Q100" s="333">
        <f>SUM(F100:J100,L100)*'Tillegg- Inndata Øvrige'!K98</f>
        <v>0</v>
      </c>
      <c r="R100" s="333">
        <f>(K100+M100)*'Tillegg- Inndata Øvrige'!K98</f>
        <v>0</v>
      </c>
      <c r="S100" s="333">
        <f>SUM(N100:P100)*'Tillegg- Inndata Øvrige'!K98</f>
        <v>0</v>
      </c>
      <c r="T100" s="334">
        <f>('Tillegg- Inndata Øvrige'!G98+'Tillegg- Inndata Øvrige'!O98+'Tillegg- Inndata Øvrige'!S98)*'Tillegg- Inndata Øvrige'!K98*Transport_utslipp_til_avfallshånderting_per_kg</f>
        <v>0</v>
      </c>
      <c r="U100" s="330">
        <f>IF('Tillegg- Inndata Øvrige'!E98 = 0, 0, 1.833*'Tillegg- Inndata Øvrige'!X98*'Tillegg- Inndata Øvrige'!K98*('Tillegg- Inndata Øvrige'!G98*('Tillegg- Inndata Øvrige'!L98*0.5+'Tillegg- Inndata Øvrige'!M98*0.8) + (12/44)*('Tillegg- Inndata Øvrige'!O98*'Tillegg- Inndata Øvrige'!Q98+'Tillegg- Inndata Øvrige'!S98*'Tillegg- Inndata Øvrige'!U98)))</f>
        <v>0</v>
      </c>
      <c r="V100" s="335">
        <f>IF('Tillegg- Inndata Øvrige'!G98 = 0, 0,  MAX(-SUM(F100:J100,L100)*'Tillegg- Inndata Øvrige'!L98, -0.114*IF('Tillegg- Inndata Øvrige'!H98 &gt; 49, _xlfn.XLOOKUP(49, År_etter_ferdigstillelse, karbon_opptak_faktor), _xlfn.XLOOKUP('Tillegg- Inndata Øvrige'!H98, År_etter_ferdigstillelse, karbon_opptak_faktor))*'Tillegg- Inndata Øvrige'!G98*'Tillegg- Inndata Øvrige'!L98*0.5))</f>
        <v>0</v>
      </c>
      <c r="W100" s="333">
        <f>IF('Tillegg- Inndata Øvrige'!G98=0,0,IF('Tillegg- Inndata Øvrige'!H98&gt;49,-0.064*'Tillegg- Inndata Øvrige'!G98*'Tillegg- Inndata Øvrige'!N98,-0.037*'Tillegg- Inndata Øvrige'!J98*'Tillegg- Inndata Øvrige'!N98))</f>
        <v>0</v>
      </c>
      <c r="X100" s="331" cm="1">
        <f t="array" ref="X100">IF(SUM(F100:J100,L100)=0, 0, SUM(F100:J100,L100)*(1+'Tillegg-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Y100" s="330" cm="1">
        <f t="array" ref="Y100">IF(X100=0, 0, SUM(K100,M100)*(1+'Tillegg-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Z100" s="336" cm="1">
        <f t="array" ref="Z100">IF(X100=0, 0, SUM(N100:P100)*(1+'Tillegg-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A100" s="336" cm="1">
        <f t="array" ref="AA100">IF(X100=0, 0, ('Tillegg- Inndata Øvrige'!G98+'Tillegg- Inndata Øvrige'!O98+'Tillegg- Inndata Øvrige'!S98)*(1+'Tillegg- Inndata Øvrige'!K98)*Transport_utslipp_til_avfallshånderting_per_kg*IF('Tillegg-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B100" s="334" cm="1">
        <f t="array" ref="AB100">IF(X100=0, 0,1.833*'Tillegg- Inndata Øvrige'!J98*('Tillegg- Inndata Øvrige'!X98*_xlfn.XLOOKUP(IF('Tillegg- Inndata Øvrige'!I98&lt;2,'Tillegg- Inndata Øvrige'!H98,'Tillegg- Inndata Øvrige'!H98*2), År_etter_ferdigstillelse, Faktorer!$Z$7:$Z$58))*('Tillegg- Inndata Øvrige'!L98*0.5+'Tillegg- Inndata Øvrige'!M98*0.8)*_xlfn.XLOOKUP(IF('Tillegg- Inndata Øvrige'!I98&lt;2,'Tillegg- Inndata Øvrige'!H98,'Tillegg- Inndata Øvrige'!H98*2), År_etter_ferdigstillelse,  IF(LEFT('Tillegg- Inndata Øvrige'!B98, 2)= 49, f_tid_x_f_tek_d_0_037, f_tid_x_f_tek_d_0_01)))</f>
        <v>0</v>
      </c>
      <c r="AC100" s="335">
        <f>IF(('Tillegg- Inndata Øvrige'!G98) = 0, 0,('Tillegg- Inndata Øvrige'!G98*((AG100+AI100)*Transport_utslipp_til_avfallshånderting_per_kg)+('Tillegg- Inndata Øvrige'!Z98*'ZERO-B Beregning'!D200)*IF('ZERO-B Beregning'!F201=0,'ZERO-B Beregning'!D201,'ZERO-B Beregning'!F201))*_xlfn.XLOOKUP(51, År_etter_ferdigstillelse, f_tid_x_f_tek_d_0_01))</f>
        <v>0</v>
      </c>
      <c r="AD100" s="337">
        <f>IF(('Tillegg- Inndata Øvrige'!G98) = 0, 0,1.833*('Tillegg- Inndata Øvrige'!G98*('Tillegg- Inndata Øvrige'!L98*0.5+'Tillegg- Inndata Øvrige'!M98*0.8)*AG100*_xlfn.XLOOKUP(51, År_etter_ferdigstillelse,  f_tid_x_f_tek_d_0_01)))</f>
        <v>0</v>
      </c>
      <c r="AE100" s="333" cm="1">
        <f t="array" ref="AE100">IF(('Tillegg- Inndata Øvrige'!G98) = 0, 0,-0.8*('Tillegg- Inndata Øvrige'!G98)*AH100*('Tillegg- Inndata Øvrige'!E98/'Tillegg- Inndata Øvrige'!G98)*_xlfn.XLOOKUP(51, År_etter_ferdigstillelse,  IF(LEFT('Tillegg- Inndata Øvrige'!B98, 2)= 49, f_tid_x_f_tek_d_0_037, f_tid_x_f_tek_d_0_01)))</f>
        <v>0</v>
      </c>
      <c r="AF100" s="338" cm="1">
        <f t="array" ref="AF100">IF(('Tillegg- Inndata Øvrige'!G98) = 0, 0,-0.1*('Tillegg- Inndata Øvrige'!G98)*AI100*('Tillegg- Inndata Øvrige'!E98/'Tillegg- Inndata Øvrige'!G98)*_xlfn.XLOOKUP(51, År_etter_ferdigstillelse,  IF(LEFT('Tillegg- Inndata Øvrige'!B98, 2)= 49, f_tid_x_f_tek_d_0_037, f_tid_x_f_tek_d_0_01)))</f>
        <v>0</v>
      </c>
      <c r="AG100" s="572">
        <f>IF(('Tillegg- Inndata Øvrige'!G98) = 0, 0,'Tillegg- Inndata Øvrige'!X98*Faktorer!$Z$58)</f>
        <v>0</v>
      </c>
      <c r="AH100" s="573">
        <f>IF(('Tillegg- Inndata Øvrige'!G98) = 0, 0,'Tillegg- Inndata Øvrige'!Z98+('Tillegg- Inndata Øvrige'!X98+'Tillegg- Inndata Øvrige'!Y98)*(1-Faktorer!$Z$58)*0.5)</f>
        <v>0</v>
      </c>
      <c r="AI100" s="574">
        <f>IF(('Tillegg- Inndata Øvrige'!G98) = 0, 0,'Tillegg- Inndata Øvrige'!AA98+('Tillegg- Inndata Øvrige'!X98+'Tillegg- Inndata Øvrige'!Y98)*(1-Faktorer!$Z$58)*0.5)</f>
        <v>0</v>
      </c>
      <c r="AK100" s="90">
        <f t="shared" si="2"/>
        <v>0</v>
      </c>
      <c r="AL100" s="91">
        <f>'Tillegg- Res. Det. Øvrige'!N100</f>
        <v>0</v>
      </c>
      <c r="AM100" s="91" t="str">
        <f>IF(F100=0,"",('Tillegg- Inndata Øvrige'!E100+'Tillegg- Inndata Øvrige'!F100)*ROUNDDOWN('Tillegg- Inndata Øvrige'!I100,0)*(1+'Tillegg- Inndata Øvrige'!K100))</f>
        <v/>
      </c>
      <c r="AO100" s="1"/>
    </row>
    <row r="101" spans="2:41">
      <c r="B101" s="327">
        <f>'Tillegg- Inndata Øvrige'!B99</f>
        <v>0</v>
      </c>
      <c r="C101" s="327">
        <f>'Tillegg- Inndata Øvrige'!C99</f>
        <v>0</v>
      </c>
      <c r="D101" s="327">
        <f>'Tillegg- Inndata Øvrige'!D99</f>
        <v>0</v>
      </c>
      <c r="E101" s="421" cm="1">
        <f t="array" ref="E101">SUM(IFERROR(F101:AF101,0))</f>
        <v>0</v>
      </c>
      <c r="F101" s="330">
        <f>'Tillegg- Inndata Øvrige'!E99</f>
        <v>0</v>
      </c>
      <c r="G101" s="330">
        <f>IF('Tillegg- Inndata Øvrige'!AB99="Ja", -0.8*$F101, 0)</f>
        <v>0</v>
      </c>
      <c r="H101" s="330">
        <f>IF('Tillegg- Inndata Øvrige'!AC99="Ja", -0.4*$F101, 0)</f>
        <v>0</v>
      </c>
      <c r="I101" s="330">
        <f>IF('Tillegg- Inndata Øvrige'!AD99="Ja", -1*$F101, 0)</f>
        <v>0</v>
      </c>
      <c r="J101" s="330">
        <f>'Tillegg- Inndata Øvrige'!O99*'Tillegg- Inndata Øvrige'!P99</f>
        <v>0</v>
      </c>
      <c r="K101" s="330">
        <f>MAX(-0.75*(SUM('Tillegg- Res. Det. Øvrige'!F101:J101)),-'Tillegg- Inndata Øvrige'!O99*'Tillegg- Inndata Øvrige'!Q99)</f>
        <v>0</v>
      </c>
      <c r="L101" s="330">
        <f>'Tillegg- Inndata Øvrige'!S99*'Tillegg- Inndata Øvrige'!T99</f>
        <v>0</v>
      </c>
      <c r="M101" s="330">
        <f>MAX(-0.75*(SUM('Tillegg- Res. Det. Øvrige'!F101:I101,L101)),-'Tillegg- Inndata Øvrige'!S99*'Tillegg- Inndata Øvrige'!U99)</f>
        <v>0</v>
      </c>
      <c r="N101" s="331">
        <f>'Tillegg- Inndata Øvrige'!F99</f>
        <v>0</v>
      </c>
      <c r="O101" s="330">
        <f>'Tillegg- Inndata Øvrige'!O99*'Tillegg- Inndata Øvrige'!R99</f>
        <v>0</v>
      </c>
      <c r="P101" s="332">
        <f>'Tillegg- Inndata Øvrige'!S99*'Tillegg- Inndata Øvrige'!V99</f>
        <v>0</v>
      </c>
      <c r="Q101" s="333">
        <f>SUM(F101:J101,L101)*'Tillegg- Inndata Øvrige'!K99</f>
        <v>0</v>
      </c>
      <c r="R101" s="333">
        <f>(K101+M101)*'Tillegg- Inndata Øvrige'!K99</f>
        <v>0</v>
      </c>
      <c r="S101" s="333">
        <f>SUM(N101:P101)*'Tillegg- Inndata Øvrige'!K99</f>
        <v>0</v>
      </c>
      <c r="T101" s="334">
        <f>('Tillegg- Inndata Øvrige'!G99+'Tillegg- Inndata Øvrige'!O99+'Tillegg- Inndata Øvrige'!S99)*'Tillegg- Inndata Øvrige'!K99*Transport_utslipp_til_avfallshånderting_per_kg</f>
        <v>0</v>
      </c>
      <c r="U101" s="330">
        <f>IF('Tillegg- Inndata Øvrige'!E99 = 0, 0, 1.833*'Tillegg- Inndata Øvrige'!X99*'Tillegg- Inndata Øvrige'!K99*('Tillegg- Inndata Øvrige'!G99*('Tillegg- Inndata Øvrige'!L99*0.5+'Tillegg- Inndata Øvrige'!M99*0.8) + (12/44)*('Tillegg- Inndata Øvrige'!O99*'Tillegg- Inndata Øvrige'!Q99+'Tillegg- Inndata Øvrige'!S99*'Tillegg- Inndata Øvrige'!U99)))</f>
        <v>0</v>
      </c>
      <c r="V101" s="335">
        <f>IF('Tillegg- Inndata Øvrige'!G99 = 0, 0,  MAX(-SUM(F101:J101,L101)*'Tillegg- Inndata Øvrige'!L99, -0.114*IF('Tillegg- Inndata Øvrige'!H99 &gt; 49, _xlfn.XLOOKUP(49, År_etter_ferdigstillelse, karbon_opptak_faktor), _xlfn.XLOOKUP('Tillegg- Inndata Øvrige'!H99, År_etter_ferdigstillelse, karbon_opptak_faktor))*'Tillegg- Inndata Øvrige'!G99*'Tillegg- Inndata Øvrige'!L99*0.5))</f>
        <v>0</v>
      </c>
      <c r="W101" s="333">
        <f>IF('Tillegg- Inndata Øvrige'!G99=0,0,IF('Tillegg- Inndata Øvrige'!H99&gt;49,-0.064*'Tillegg- Inndata Øvrige'!G99*'Tillegg- Inndata Øvrige'!N99,-0.037*'Tillegg- Inndata Øvrige'!J99*'Tillegg- Inndata Øvrige'!N99))</f>
        <v>0</v>
      </c>
      <c r="X101" s="331" cm="1">
        <f t="array" ref="X101">IF(SUM(F101:J101,L101)=0, 0, SUM(F101:J101,L101)*(1+'Tillegg-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Y101" s="330" cm="1">
        <f t="array" ref="Y101">IF(X101=0, 0, SUM(K101,M101)*(1+'Tillegg-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Z101" s="336" cm="1">
        <f t="array" ref="Z101">IF(X101=0, 0, SUM(N101:P101)*(1+'Tillegg-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A101" s="336" cm="1">
        <f t="array" ref="AA101">IF(X101=0, 0, ('Tillegg- Inndata Øvrige'!G99+'Tillegg- Inndata Øvrige'!O99+'Tillegg- Inndata Øvrige'!S99)*(1+'Tillegg- Inndata Øvrige'!K99)*Transport_utslipp_til_avfallshånderting_per_kg*IF('Tillegg-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B101" s="334" cm="1">
        <f t="array" ref="AB101">IF(X101=0, 0,1.833*'Tillegg- Inndata Øvrige'!J99*('Tillegg- Inndata Øvrige'!X99*_xlfn.XLOOKUP(IF('Tillegg- Inndata Øvrige'!I99&lt;2,'Tillegg- Inndata Øvrige'!H99,'Tillegg- Inndata Øvrige'!H99*2), År_etter_ferdigstillelse, Faktorer!$Z$7:$Z$58))*('Tillegg- Inndata Øvrige'!L99*0.5+'Tillegg- Inndata Øvrige'!M99*0.8)*_xlfn.XLOOKUP(IF('Tillegg- Inndata Øvrige'!I99&lt;2,'Tillegg- Inndata Øvrige'!H99,'Tillegg- Inndata Øvrige'!H99*2), År_etter_ferdigstillelse,  IF(LEFT('Tillegg- Inndata Øvrige'!B99, 2)= 49, f_tid_x_f_tek_d_0_037, f_tid_x_f_tek_d_0_01)))</f>
        <v>0</v>
      </c>
      <c r="AC101" s="335">
        <f>IF(('Tillegg- Inndata Øvrige'!G99) = 0, 0,('Tillegg- Inndata Øvrige'!G99*((AG101+AI101)*Transport_utslipp_til_avfallshånderting_per_kg)+('Tillegg- Inndata Øvrige'!Z99*'ZERO-B Beregning'!D201)*IF('ZERO-B Beregning'!F202=0,'ZERO-B Beregning'!D202,'ZERO-B Beregning'!F202))*_xlfn.XLOOKUP(51, År_etter_ferdigstillelse, f_tid_x_f_tek_d_0_01))</f>
        <v>0</v>
      </c>
      <c r="AD101" s="337">
        <f>IF(('Tillegg- Inndata Øvrige'!G99) = 0, 0,1.833*('Tillegg- Inndata Øvrige'!G99*('Tillegg- Inndata Øvrige'!L99*0.5+'Tillegg- Inndata Øvrige'!M99*0.8)*AG101*_xlfn.XLOOKUP(51, År_etter_ferdigstillelse,  f_tid_x_f_tek_d_0_01)))</f>
        <v>0</v>
      </c>
      <c r="AE101" s="333" cm="1">
        <f t="array" ref="AE101">IF(('Tillegg- Inndata Øvrige'!G99) = 0, 0,-0.8*('Tillegg- Inndata Øvrige'!G99)*AH101*('Tillegg- Inndata Øvrige'!E99/'Tillegg- Inndata Øvrige'!G99)*_xlfn.XLOOKUP(51, År_etter_ferdigstillelse,  IF(LEFT('Tillegg- Inndata Øvrige'!B99, 2)= 49, f_tid_x_f_tek_d_0_037, f_tid_x_f_tek_d_0_01)))</f>
        <v>0</v>
      </c>
      <c r="AF101" s="338" cm="1">
        <f t="array" ref="AF101">IF(('Tillegg- Inndata Øvrige'!G99) = 0, 0,-0.1*('Tillegg- Inndata Øvrige'!G99)*AI101*('Tillegg- Inndata Øvrige'!E99/'Tillegg- Inndata Øvrige'!G99)*_xlfn.XLOOKUP(51, År_etter_ferdigstillelse,  IF(LEFT('Tillegg- Inndata Øvrige'!B99, 2)= 49, f_tid_x_f_tek_d_0_037, f_tid_x_f_tek_d_0_01)))</f>
        <v>0</v>
      </c>
      <c r="AG101" s="572">
        <f>IF(('Tillegg- Inndata Øvrige'!G99) = 0, 0,'Tillegg- Inndata Øvrige'!X99*Faktorer!$Z$58)</f>
        <v>0</v>
      </c>
      <c r="AH101" s="573">
        <f>IF(('Tillegg- Inndata Øvrige'!G99) = 0, 0,'Tillegg- Inndata Øvrige'!Z99+('Tillegg- Inndata Øvrige'!X99+'Tillegg- Inndata Øvrige'!Y99)*(1-Faktorer!$Z$58)*0.5)</f>
        <v>0</v>
      </c>
      <c r="AI101" s="574">
        <f>IF(('Tillegg- Inndata Øvrige'!G99) = 0, 0,'Tillegg- Inndata Øvrige'!AA99+('Tillegg- Inndata Øvrige'!X99+'Tillegg- Inndata Øvrige'!Y99)*(1-Faktorer!$Z$58)*0.5)</f>
        <v>0</v>
      </c>
      <c r="AK101" s="90">
        <f t="shared" si="2"/>
        <v>0</v>
      </c>
      <c r="AL101" s="91">
        <f>'Tillegg- Res. Det. Øvrige'!N101</f>
        <v>0</v>
      </c>
      <c r="AM101" s="91" t="str">
        <f>IF(F101=0,"",('Tillegg- Inndata Øvrige'!E101+'Tillegg- Inndata Øvrige'!F101)*ROUNDDOWN('Tillegg- Inndata Øvrige'!I101,0)*(1+'Tillegg- Inndata Øvrige'!K101))</f>
        <v/>
      </c>
      <c r="AO101" s="1"/>
    </row>
    <row r="102" spans="2:41">
      <c r="B102" s="327">
        <f>'Tillegg- Inndata Øvrige'!B100</f>
        <v>0</v>
      </c>
      <c r="C102" s="327">
        <f>'Tillegg- Inndata Øvrige'!C100</f>
        <v>0</v>
      </c>
      <c r="D102" s="327">
        <f>'Tillegg- Inndata Øvrige'!D100</f>
        <v>0</v>
      </c>
      <c r="E102" s="421" cm="1">
        <f t="array" ref="E102">SUM(IFERROR(F102:AF102,0))</f>
        <v>0</v>
      </c>
      <c r="F102" s="330">
        <f>'Tillegg- Inndata Øvrige'!E100</f>
        <v>0</v>
      </c>
      <c r="G102" s="330">
        <f>IF('Tillegg- Inndata Øvrige'!AB100="Ja", -0.8*$F102, 0)</f>
        <v>0</v>
      </c>
      <c r="H102" s="330">
        <f>IF('Tillegg- Inndata Øvrige'!AC100="Ja", -0.4*$F102, 0)</f>
        <v>0</v>
      </c>
      <c r="I102" s="330">
        <f>IF('Tillegg- Inndata Øvrige'!AD100="Ja", -1*$F102, 0)</f>
        <v>0</v>
      </c>
      <c r="J102" s="330">
        <f>'Tillegg- Inndata Øvrige'!O100*'Tillegg- Inndata Øvrige'!P100</f>
        <v>0</v>
      </c>
      <c r="K102" s="330">
        <f>MAX(-0.75*(SUM('Tillegg- Res. Det. Øvrige'!F102:J102)),-'Tillegg- Inndata Øvrige'!O100*'Tillegg- Inndata Øvrige'!Q100)</f>
        <v>0</v>
      </c>
      <c r="L102" s="330">
        <f>'Tillegg- Inndata Øvrige'!S100*'Tillegg- Inndata Øvrige'!T100</f>
        <v>0</v>
      </c>
      <c r="M102" s="330">
        <f>MAX(-0.75*(SUM('Tillegg- Res. Det. Øvrige'!F102:I102,L102)),-'Tillegg- Inndata Øvrige'!S100*'Tillegg- Inndata Øvrige'!U100)</f>
        <v>0</v>
      </c>
      <c r="N102" s="331">
        <f>'Tillegg- Inndata Øvrige'!F100</f>
        <v>0</v>
      </c>
      <c r="O102" s="330">
        <f>'Tillegg- Inndata Øvrige'!O100*'Tillegg- Inndata Øvrige'!R100</f>
        <v>0</v>
      </c>
      <c r="P102" s="332">
        <f>'Tillegg- Inndata Øvrige'!S100*'Tillegg- Inndata Øvrige'!V100</f>
        <v>0</v>
      </c>
      <c r="Q102" s="333">
        <f>SUM(F102:J102,L102)*'Tillegg- Inndata Øvrige'!K100</f>
        <v>0</v>
      </c>
      <c r="R102" s="333">
        <f>(K102+M102)*'Tillegg- Inndata Øvrige'!K100</f>
        <v>0</v>
      </c>
      <c r="S102" s="333">
        <f>SUM(N102:P102)*'Tillegg- Inndata Øvrige'!K100</f>
        <v>0</v>
      </c>
      <c r="T102" s="334">
        <f>('Tillegg- Inndata Øvrige'!G100+'Tillegg- Inndata Øvrige'!O100+'Tillegg- Inndata Øvrige'!S100)*'Tillegg- Inndata Øvrige'!K100*Transport_utslipp_til_avfallshånderting_per_kg</f>
        <v>0</v>
      </c>
      <c r="U102" s="330">
        <f>IF('Tillegg- Inndata Øvrige'!E100 = 0, 0, 1.833*'Tillegg- Inndata Øvrige'!X100*'Tillegg- Inndata Øvrige'!K100*('Tillegg- Inndata Øvrige'!G100*('Tillegg- Inndata Øvrige'!L100*0.5+'Tillegg- Inndata Øvrige'!M100*0.8) + (12/44)*('Tillegg- Inndata Øvrige'!O100*'Tillegg- Inndata Øvrige'!Q100+'Tillegg- Inndata Øvrige'!S100*'Tillegg- Inndata Øvrige'!U100)))</f>
        <v>0</v>
      </c>
      <c r="V102" s="335">
        <f>IF('Tillegg- Inndata Øvrige'!G100 = 0, 0,  MAX(-SUM(F102:J102,L102)*'Tillegg- Inndata Øvrige'!L100, -0.114*IF('Tillegg- Inndata Øvrige'!H100 &gt; 49, _xlfn.XLOOKUP(49, År_etter_ferdigstillelse, karbon_opptak_faktor), _xlfn.XLOOKUP('Tillegg- Inndata Øvrige'!H100, År_etter_ferdigstillelse, karbon_opptak_faktor))*'Tillegg- Inndata Øvrige'!G100*'Tillegg- Inndata Øvrige'!L100*0.5))</f>
        <v>0</v>
      </c>
      <c r="W102" s="333">
        <f>IF('Tillegg- Inndata Øvrige'!G100=0,0,IF('Tillegg- Inndata Øvrige'!H100&gt;49,-0.064*'Tillegg- Inndata Øvrige'!G100*'Tillegg- Inndata Øvrige'!N100,-0.037*'Tillegg- Inndata Øvrige'!J100*'Tillegg- Inndata Øvrige'!N100))</f>
        <v>0</v>
      </c>
      <c r="X102" s="331" cm="1">
        <f t="array" ref="X102">IF(SUM(F102:J102,L102)=0, 0, SUM(F102:J102,L102)*(1+'Tillegg-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Y102" s="330" cm="1">
        <f t="array" ref="Y102">IF(X102=0, 0, SUM(K102,M102)*(1+'Tillegg-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Z102" s="336" cm="1">
        <f t="array" ref="Z102">IF(X102=0, 0, SUM(N102:P102)*(1+'Tillegg-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A102" s="336" cm="1">
        <f t="array" ref="AA102">IF(X102=0, 0, ('Tillegg- Inndata Øvrige'!G100+'Tillegg- Inndata Øvrige'!O100+'Tillegg- Inndata Øvrige'!S100)*(1+'Tillegg- Inndata Øvrige'!K100)*Transport_utslipp_til_avfallshånderting_per_kg*IF('Tillegg-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B102" s="334" cm="1">
        <f t="array" ref="AB102">IF(X102=0, 0,1.833*'Tillegg- Inndata Øvrige'!J100*('Tillegg- Inndata Øvrige'!X100*_xlfn.XLOOKUP(IF('Tillegg- Inndata Øvrige'!I100&lt;2,'Tillegg- Inndata Øvrige'!H100,'Tillegg- Inndata Øvrige'!H100*2), År_etter_ferdigstillelse, Faktorer!$Z$7:$Z$58))*('Tillegg- Inndata Øvrige'!L100*0.5+'Tillegg- Inndata Øvrige'!M100*0.8)*_xlfn.XLOOKUP(IF('Tillegg- Inndata Øvrige'!I100&lt;2,'Tillegg- Inndata Øvrige'!H100,'Tillegg- Inndata Øvrige'!H100*2), År_etter_ferdigstillelse,  IF(LEFT('Tillegg- Inndata Øvrige'!B100, 2)= 49, f_tid_x_f_tek_d_0_037, f_tid_x_f_tek_d_0_01)))</f>
        <v>0</v>
      </c>
      <c r="AC102" s="335">
        <f>IF(('Tillegg- Inndata Øvrige'!G100) = 0, 0,('Tillegg- Inndata Øvrige'!G100*((AG102+AI102)*Transport_utslipp_til_avfallshånderting_per_kg)+('Tillegg- Inndata Øvrige'!Z100*'ZERO-B Beregning'!D202)*IF('ZERO-B Beregning'!F203=0,'ZERO-B Beregning'!D203,'ZERO-B Beregning'!F203))*_xlfn.XLOOKUP(51, År_etter_ferdigstillelse, f_tid_x_f_tek_d_0_01))</f>
        <v>0</v>
      </c>
      <c r="AD102" s="337">
        <f>IF(('Tillegg- Inndata Øvrige'!G100) = 0, 0,1.833*('Tillegg- Inndata Øvrige'!G100*('Tillegg- Inndata Øvrige'!L100*0.5+'Tillegg- Inndata Øvrige'!M100*0.8)*AG102*_xlfn.XLOOKUP(51, År_etter_ferdigstillelse,  f_tid_x_f_tek_d_0_01)))</f>
        <v>0</v>
      </c>
      <c r="AE102" s="333" cm="1">
        <f t="array" ref="AE102">IF(('Tillegg- Inndata Øvrige'!G100) = 0, 0,-0.8*('Tillegg- Inndata Øvrige'!G100)*AH102*('Tillegg- Inndata Øvrige'!E100/'Tillegg- Inndata Øvrige'!G100)*_xlfn.XLOOKUP(51, År_etter_ferdigstillelse,  IF(LEFT('Tillegg- Inndata Øvrige'!B100, 2)= 49, f_tid_x_f_tek_d_0_037, f_tid_x_f_tek_d_0_01)))</f>
        <v>0</v>
      </c>
      <c r="AF102" s="338" cm="1">
        <f t="array" ref="AF102">IF(('Tillegg- Inndata Øvrige'!G100) = 0, 0,-0.1*('Tillegg- Inndata Øvrige'!G100)*AI102*('Tillegg- Inndata Øvrige'!E100/'Tillegg- Inndata Øvrige'!G100)*_xlfn.XLOOKUP(51, År_etter_ferdigstillelse,  IF(LEFT('Tillegg- Inndata Øvrige'!B100, 2)= 49, f_tid_x_f_tek_d_0_037, f_tid_x_f_tek_d_0_01)))</f>
        <v>0</v>
      </c>
      <c r="AG102" s="572">
        <f>IF(('Tillegg- Inndata Øvrige'!G100) = 0, 0,'Tillegg- Inndata Øvrige'!X100*Faktorer!$Z$58)</f>
        <v>0</v>
      </c>
      <c r="AH102" s="573">
        <f>IF(('Tillegg- Inndata Øvrige'!G100) = 0, 0,'Tillegg- Inndata Øvrige'!Z100+('Tillegg- Inndata Øvrige'!X100+'Tillegg- Inndata Øvrige'!Y100)*(1-Faktorer!$Z$58)*0.5)</f>
        <v>0</v>
      </c>
      <c r="AI102" s="574">
        <f>IF(('Tillegg- Inndata Øvrige'!G100) = 0, 0,'Tillegg- Inndata Øvrige'!AA100+('Tillegg- Inndata Øvrige'!X100+'Tillegg- Inndata Øvrige'!Y100)*(1-Faktorer!$Z$58)*0.5)</f>
        <v>0</v>
      </c>
      <c r="AK102" s="90">
        <f t="shared" si="2"/>
        <v>0</v>
      </c>
      <c r="AL102" s="91">
        <f>'Tillegg- Res. Det. Øvrige'!N102</f>
        <v>0</v>
      </c>
      <c r="AM102" s="91" t="str">
        <f>IF(F102=0,"",('Tillegg- Inndata Øvrige'!E102+'Tillegg- Inndata Øvrige'!F102)*ROUNDDOWN('Tillegg- Inndata Øvrige'!I102,0)*(1+'Tillegg- Inndata Øvrige'!K102))</f>
        <v/>
      </c>
      <c r="AO102" s="1"/>
    </row>
    <row r="103" spans="2:41">
      <c r="B103" s="327">
        <f>'Tillegg- Inndata Øvrige'!B101</f>
        <v>0</v>
      </c>
      <c r="C103" s="327">
        <f>'Tillegg- Inndata Øvrige'!C101</f>
        <v>0</v>
      </c>
      <c r="D103" s="327">
        <f>'Tillegg- Inndata Øvrige'!D101</f>
        <v>0</v>
      </c>
      <c r="E103" s="421" cm="1">
        <f t="array" ref="E103">SUM(IFERROR(F103:AF103,0))</f>
        <v>0</v>
      </c>
      <c r="F103" s="330">
        <f>'Tillegg- Inndata Øvrige'!E101</f>
        <v>0</v>
      </c>
      <c r="G103" s="330">
        <f>IF('Tillegg- Inndata Øvrige'!AB101="Ja", -0.8*$F103, 0)</f>
        <v>0</v>
      </c>
      <c r="H103" s="330">
        <f>IF('Tillegg- Inndata Øvrige'!AC101="Ja", -0.4*$F103, 0)</f>
        <v>0</v>
      </c>
      <c r="I103" s="330">
        <f>IF('Tillegg- Inndata Øvrige'!AD101="Ja", -1*$F103, 0)</f>
        <v>0</v>
      </c>
      <c r="J103" s="330">
        <f>'Tillegg- Inndata Øvrige'!O101*'Tillegg- Inndata Øvrige'!P101</f>
        <v>0</v>
      </c>
      <c r="K103" s="330">
        <f>MAX(-0.75*(SUM('Tillegg- Res. Det. Øvrige'!F103:J103)),-'Tillegg- Inndata Øvrige'!O101*'Tillegg- Inndata Øvrige'!Q101)</f>
        <v>0</v>
      </c>
      <c r="L103" s="330">
        <f>'Tillegg- Inndata Øvrige'!S101*'Tillegg- Inndata Øvrige'!T101</f>
        <v>0</v>
      </c>
      <c r="M103" s="330">
        <f>MAX(-0.75*(SUM('Tillegg- Res. Det. Øvrige'!F103:I103,L103)),-'Tillegg- Inndata Øvrige'!S101*'Tillegg- Inndata Øvrige'!U101)</f>
        <v>0</v>
      </c>
      <c r="N103" s="331">
        <f>'Tillegg- Inndata Øvrige'!F101</f>
        <v>0</v>
      </c>
      <c r="O103" s="330">
        <f>'Tillegg- Inndata Øvrige'!O101*'Tillegg- Inndata Øvrige'!R101</f>
        <v>0</v>
      </c>
      <c r="P103" s="332">
        <f>'Tillegg- Inndata Øvrige'!S101*'Tillegg- Inndata Øvrige'!V101</f>
        <v>0</v>
      </c>
      <c r="Q103" s="333">
        <f>SUM(F103:J103,L103)*'Tillegg- Inndata Øvrige'!K101</f>
        <v>0</v>
      </c>
      <c r="R103" s="333">
        <f>(K103+M103)*'Tillegg- Inndata Øvrige'!K101</f>
        <v>0</v>
      </c>
      <c r="S103" s="333">
        <f>SUM(N103:P103)*'Tillegg- Inndata Øvrige'!K101</f>
        <v>0</v>
      </c>
      <c r="T103" s="334">
        <f>('Tillegg- Inndata Øvrige'!G101+'Tillegg- Inndata Øvrige'!O101+'Tillegg- Inndata Øvrige'!S101)*'Tillegg- Inndata Øvrige'!K101*Transport_utslipp_til_avfallshånderting_per_kg</f>
        <v>0</v>
      </c>
      <c r="U103" s="330">
        <f>IF('Tillegg- Inndata Øvrige'!E101 = 0, 0, 1.833*'Tillegg- Inndata Øvrige'!X101*'Tillegg- Inndata Øvrige'!K101*('Tillegg- Inndata Øvrige'!G101*('Tillegg- Inndata Øvrige'!L101*0.5+'Tillegg- Inndata Øvrige'!M101*0.8) + (12/44)*('Tillegg- Inndata Øvrige'!O101*'Tillegg- Inndata Øvrige'!Q101+'Tillegg- Inndata Øvrige'!S101*'Tillegg- Inndata Øvrige'!U101)))</f>
        <v>0</v>
      </c>
      <c r="V103" s="335">
        <f>IF('Tillegg- Inndata Øvrige'!G101 = 0, 0,  MAX(-SUM(F103:J103,L103)*'Tillegg- Inndata Øvrige'!L101, -0.114*IF('Tillegg- Inndata Øvrige'!H101 &gt; 49, _xlfn.XLOOKUP(49, År_etter_ferdigstillelse, karbon_opptak_faktor), _xlfn.XLOOKUP('Tillegg- Inndata Øvrige'!H101, År_etter_ferdigstillelse, karbon_opptak_faktor))*'Tillegg- Inndata Øvrige'!G101*'Tillegg- Inndata Øvrige'!L101*0.5))</f>
        <v>0</v>
      </c>
      <c r="W103" s="333">
        <f>IF('Tillegg- Inndata Øvrige'!G101=0,0,IF('Tillegg- Inndata Øvrige'!H101&gt;49,-0.064*'Tillegg- Inndata Øvrige'!G101*'Tillegg- Inndata Øvrige'!N101,-0.037*'Tillegg- Inndata Øvrige'!J101*'Tillegg- Inndata Øvrige'!N101))</f>
        <v>0</v>
      </c>
      <c r="X103" s="331" cm="1">
        <f t="array" ref="X103">IF(SUM(F103:J103,L103)=0, 0, SUM(F103:J103,L103)*(1+'Tillegg-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Y103" s="330" cm="1">
        <f t="array" ref="Y103">IF(X103=0, 0, SUM(K103,M103)*(1+'Tillegg-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Z103" s="336" cm="1">
        <f t="array" ref="Z103">IF(X103=0, 0, SUM(N103:P103)*(1+'Tillegg-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A103" s="336" cm="1">
        <f t="array" ref="AA103">IF(X103=0, 0, ('Tillegg- Inndata Øvrige'!G101+'Tillegg- Inndata Øvrige'!O101+'Tillegg- Inndata Øvrige'!S101)*(1+'Tillegg- Inndata Øvrige'!K101)*Transport_utslipp_til_avfallshånderting_per_kg*IF('Tillegg-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B103" s="334" cm="1">
        <f t="array" ref="AB103">IF(X103=0, 0,1.833*'Tillegg- Inndata Øvrige'!J101*('Tillegg- Inndata Øvrige'!X101*_xlfn.XLOOKUP(IF('Tillegg- Inndata Øvrige'!I101&lt;2,'Tillegg- Inndata Øvrige'!H101,'Tillegg- Inndata Øvrige'!H101*2), År_etter_ferdigstillelse, Faktorer!$Z$7:$Z$58))*('Tillegg- Inndata Øvrige'!L101*0.5+'Tillegg- Inndata Øvrige'!M101*0.8)*_xlfn.XLOOKUP(IF('Tillegg- Inndata Øvrige'!I101&lt;2,'Tillegg- Inndata Øvrige'!H101,'Tillegg- Inndata Øvrige'!H101*2), År_etter_ferdigstillelse,  IF(LEFT('Tillegg- Inndata Øvrige'!B101, 2)= 49, f_tid_x_f_tek_d_0_037, f_tid_x_f_tek_d_0_01)))</f>
        <v>0</v>
      </c>
      <c r="AC103" s="335">
        <f>IF(('Tillegg- Inndata Øvrige'!G101) = 0, 0,('Tillegg- Inndata Øvrige'!G101*((AG103+AI103)*Transport_utslipp_til_avfallshånderting_per_kg)+('Tillegg- Inndata Øvrige'!Z101*'ZERO-B Beregning'!D203)*IF('ZERO-B Beregning'!F204=0,'ZERO-B Beregning'!D204,'ZERO-B Beregning'!F204))*_xlfn.XLOOKUP(51, År_etter_ferdigstillelse, f_tid_x_f_tek_d_0_01))</f>
        <v>0</v>
      </c>
      <c r="AD103" s="337">
        <f>IF(('Tillegg- Inndata Øvrige'!G101) = 0, 0,1.833*('Tillegg- Inndata Øvrige'!G101*('Tillegg- Inndata Øvrige'!L101*0.5+'Tillegg- Inndata Øvrige'!M101*0.8)*AG103*_xlfn.XLOOKUP(51, År_etter_ferdigstillelse,  f_tid_x_f_tek_d_0_01)))</f>
        <v>0</v>
      </c>
      <c r="AE103" s="333" cm="1">
        <f t="array" ref="AE103">IF(('Tillegg- Inndata Øvrige'!G101) = 0, 0,-0.8*('Tillegg- Inndata Øvrige'!G101)*AH103*('Tillegg- Inndata Øvrige'!E101/'Tillegg- Inndata Øvrige'!G101)*_xlfn.XLOOKUP(51, År_etter_ferdigstillelse,  IF(LEFT('Tillegg- Inndata Øvrige'!B101, 2)= 49, f_tid_x_f_tek_d_0_037, f_tid_x_f_tek_d_0_01)))</f>
        <v>0</v>
      </c>
      <c r="AF103" s="338" cm="1">
        <f t="array" ref="AF103">IF(('Tillegg- Inndata Øvrige'!G101) = 0, 0,-0.1*('Tillegg- Inndata Øvrige'!G101)*AI103*('Tillegg- Inndata Øvrige'!E101/'Tillegg- Inndata Øvrige'!G101)*_xlfn.XLOOKUP(51, År_etter_ferdigstillelse,  IF(LEFT('Tillegg- Inndata Øvrige'!B101, 2)= 49, f_tid_x_f_tek_d_0_037, f_tid_x_f_tek_d_0_01)))</f>
        <v>0</v>
      </c>
      <c r="AG103" s="572">
        <f>IF(('Tillegg- Inndata Øvrige'!G101) = 0, 0,'Tillegg- Inndata Øvrige'!X101*Faktorer!$Z$58)</f>
        <v>0</v>
      </c>
      <c r="AH103" s="573">
        <f>IF(('Tillegg- Inndata Øvrige'!G101) = 0, 0,'Tillegg- Inndata Øvrige'!Z101+('Tillegg- Inndata Øvrige'!X101+'Tillegg- Inndata Øvrige'!Y101)*(1-Faktorer!$Z$58)*0.5)</f>
        <v>0</v>
      </c>
      <c r="AI103" s="574">
        <f>IF(('Tillegg- Inndata Øvrige'!G101) = 0, 0,'Tillegg- Inndata Øvrige'!AA101+('Tillegg- Inndata Øvrige'!X101+'Tillegg- Inndata Øvrige'!Y101)*(1-Faktorer!$Z$58)*0.5)</f>
        <v>0</v>
      </c>
      <c r="AK103" s="90">
        <f t="shared" si="2"/>
        <v>0</v>
      </c>
      <c r="AL103" s="91">
        <f>'Tillegg- Res. Det. Øvrige'!N103</f>
        <v>0</v>
      </c>
      <c r="AM103" s="91" t="str">
        <f>IF(F103=0,"",('Tillegg- Inndata Øvrige'!E103+'Tillegg- Inndata Øvrige'!F103)*ROUNDDOWN('Tillegg- Inndata Øvrige'!I103,0)*(1+'Tillegg- Inndata Øvrige'!K103))</f>
        <v/>
      </c>
      <c r="AO103" s="1"/>
    </row>
    <row r="104" spans="2:41">
      <c r="B104" s="327">
        <f>'Tillegg- Inndata Øvrige'!B102</f>
        <v>0</v>
      </c>
      <c r="C104" s="327">
        <f>'Tillegg- Inndata Øvrige'!C102</f>
        <v>0</v>
      </c>
      <c r="D104" s="327">
        <f>'Tillegg- Inndata Øvrige'!D102</f>
        <v>0</v>
      </c>
      <c r="E104" s="421" cm="1">
        <f t="array" ref="E104">SUM(IFERROR(F104:AF104,0))</f>
        <v>0</v>
      </c>
      <c r="F104" s="330">
        <f>'Tillegg- Inndata Øvrige'!E102</f>
        <v>0</v>
      </c>
      <c r="G104" s="330">
        <f>IF('Tillegg- Inndata Øvrige'!AB102="Ja", -0.8*$F104, 0)</f>
        <v>0</v>
      </c>
      <c r="H104" s="330">
        <f>IF('Tillegg- Inndata Øvrige'!AC102="Ja", -0.4*$F104, 0)</f>
        <v>0</v>
      </c>
      <c r="I104" s="330">
        <f>IF('Tillegg- Inndata Øvrige'!AD102="Ja", -1*$F104, 0)</f>
        <v>0</v>
      </c>
      <c r="J104" s="330">
        <f>'Tillegg- Inndata Øvrige'!O102*'Tillegg- Inndata Øvrige'!P102</f>
        <v>0</v>
      </c>
      <c r="K104" s="330">
        <f>MAX(-0.75*(SUM('Tillegg- Res. Det. Øvrige'!F104:J104)),-'Tillegg- Inndata Øvrige'!O102*'Tillegg- Inndata Øvrige'!Q102)</f>
        <v>0</v>
      </c>
      <c r="L104" s="330">
        <f>'Tillegg- Inndata Øvrige'!S102*'Tillegg- Inndata Øvrige'!T102</f>
        <v>0</v>
      </c>
      <c r="M104" s="330">
        <f>MAX(-0.75*(SUM('Tillegg- Res. Det. Øvrige'!F104:I104,L104)),-'Tillegg- Inndata Øvrige'!S102*'Tillegg- Inndata Øvrige'!U102)</f>
        <v>0</v>
      </c>
      <c r="N104" s="331">
        <f>'Tillegg- Inndata Øvrige'!F102</f>
        <v>0</v>
      </c>
      <c r="O104" s="330">
        <f>'Tillegg- Inndata Øvrige'!O102*'Tillegg- Inndata Øvrige'!R102</f>
        <v>0</v>
      </c>
      <c r="P104" s="332">
        <f>'Tillegg- Inndata Øvrige'!S102*'Tillegg- Inndata Øvrige'!V102</f>
        <v>0</v>
      </c>
      <c r="Q104" s="333">
        <f>SUM(F104:J104,L104)*'Tillegg- Inndata Øvrige'!K102</f>
        <v>0</v>
      </c>
      <c r="R104" s="333">
        <f>(K104+M104)*'Tillegg- Inndata Øvrige'!K102</f>
        <v>0</v>
      </c>
      <c r="S104" s="333">
        <f>SUM(N104:P104)*'Tillegg- Inndata Øvrige'!K102</f>
        <v>0</v>
      </c>
      <c r="T104" s="334">
        <f>('Tillegg- Inndata Øvrige'!G102+'Tillegg- Inndata Øvrige'!O102+'Tillegg- Inndata Øvrige'!S102)*'Tillegg- Inndata Øvrige'!K102*Transport_utslipp_til_avfallshånderting_per_kg</f>
        <v>0</v>
      </c>
      <c r="U104" s="330">
        <f>IF('Tillegg- Inndata Øvrige'!E102 = 0, 0, 1.833*'Tillegg- Inndata Øvrige'!X102*'Tillegg- Inndata Øvrige'!K102*('Tillegg- Inndata Øvrige'!G102*('Tillegg- Inndata Øvrige'!L102*0.5+'Tillegg- Inndata Øvrige'!M102*0.8) + (12/44)*('Tillegg- Inndata Øvrige'!O102*'Tillegg- Inndata Øvrige'!Q102+'Tillegg- Inndata Øvrige'!S102*'Tillegg- Inndata Øvrige'!U102)))</f>
        <v>0</v>
      </c>
      <c r="V104" s="335">
        <f>IF('Tillegg- Inndata Øvrige'!G102 = 0, 0,  MAX(-SUM(F104:J104,L104)*'Tillegg- Inndata Øvrige'!L102, -0.114*IF('Tillegg- Inndata Øvrige'!H102 &gt; 49, _xlfn.XLOOKUP(49, År_etter_ferdigstillelse, karbon_opptak_faktor), _xlfn.XLOOKUP('Tillegg- Inndata Øvrige'!H102, År_etter_ferdigstillelse, karbon_opptak_faktor))*'Tillegg- Inndata Øvrige'!G102*'Tillegg- Inndata Øvrige'!L102*0.5))</f>
        <v>0</v>
      </c>
      <c r="W104" s="333">
        <f>IF('Tillegg- Inndata Øvrige'!G102=0,0,IF('Tillegg- Inndata Øvrige'!H102&gt;49,-0.064*'Tillegg- Inndata Øvrige'!G102*'Tillegg- Inndata Øvrige'!N102,-0.037*'Tillegg- Inndata Øvrige'!J102*'Tillegg- Inndata Øvrige'!N102))</f>
        <v>0</v>
      </c>
      <c r="X104" s="331" cm="1">
        <f t="array" ref="X104">IF(SUM(F104:J104,L104)=0, 0, SUM(F104:J104,L104)*(1+'Tillegg-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Y104" s="330" cm="1">
        <f t="array" ref="Y104">IF(X104=0, 0, SUM(K104,M104)*(1+'Tillegg-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Z104" s="336" cm="1">
        <f t="array" ref="Z104">IF(X104=0, 0, SUM(N104:P104)*(1+'Tillegg-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A104" s="336" cm="1">
        <f t="array" ref="AA104">IF(X104=0, 0, ('Tillegg- Inndata Øvrige'!G102+'Tillegg- Inndata Øvrige'!O102+'Tillegg- Inndata Øvrige'!S102)*(1+'Tillegg- Inndata Øvrige'!K102)*Transport_utslipp_til_avfallshånderting_per_kg*IF('Tillegg-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B104" s="334" cm="1">
        <f t="array" ref="AB104">IF(X104=0, 0,1.833*'Tillegg- Inndata Øvrige'!J102*('Tillegg- Inndata Øvrige'!X102*_xlfn.XLOOKUP(IF('Tillegg- Inndata Øvrige'!I102&lt;2,'Tillegg- Inndata Øvrige'!H102,'Tillegg- Inndata Øvrige'!H102*2), År_etter_ferdigstillelse, Faktorer!$Z$7:$Z$58))*('Tillegg- Inndata Øvrige'!L102*0.5+'Tillegg- Inndata Øvrige'!M102*0.8)*_xlfn.XLOOKUP(IF('Tillegg- Inndata Øvrige'!I102&lt;2,'Tillegg- Inndata Øvrige'!H102,'Tillegg- Inndata Øvrige'!H102*2), År_etter_ferdigstillelse,  IF(LEFT('Tillegg- Inndata Øvrige'!B102, 2)= 49, f_tid_x_f_tek_d_0_037, f_tid_x_f_tek_d_0_01)))</f>
        <v>0</v>
      </c>
      <c r="AC104" s="335">
        <f>IF(('Tillegg- Inndata Øvrige'!G102) = 0, 0,('Tillegg- Inndata Øvrige'!G102*((AG104+AI104)*Transport_utslipp_til_avfallshånderting_per_kg)+('Tillegg- Inndata Øvrige'!Z102*'ZERO-B Beregning'!D204)*IF('ZERO-B Beregning'!F205=0,'ZERO-B Beregning'!D205,'ZERO-B Beregning'!F205))*_xlfn.XLOOKUP(51, År_etter_ferdigstillelse, f_tid_x_f_tek_d_0_01))</f>
        <v>0</v>
      </c>
      <c r="AD104" s="337">
        <f>IF(('Tillegg- Inndata Øvrige'!G102) = 0, 0,1.833*('Tillegg- Inndata Øvrige'!G102*('Tillegg- Inndata Øvrige'!L102*0.5+'Tillegg- Inndata Øvrige'!M102*0.8)*AG104*_xlfn.XLOOKUP(51, År_etter_ferdigstillelse,  f_tid_x_f_tek_d_0_01)))</f>
        <v>0</v>
      </c>
      <c r="AE104" s="333" cm="1">
        <f t="array" ref="AE104">IF(('Tillegg- Inndata Øvrige'!G102) = 0, 0,-0.8*('Tillegg- Inndata Øvrige'!G102)*AH104*('Tillegg- Inndata Øvrige'!E102/'Tillegg- Inndata Øvrige'!G102)*_xlfn.XLOOKUP(51, År_etter_ferdigstillelse,  IF(LEFT('Tillegg- Inndata Øvrige'!B102, 2)= 49, f_tid_x_f_tek_d_0_037, f_tid_x_f_tek_d_0_01)))</f>
        <v>0</v>
      </c>
      <c r="AF104" s="338" cm="1">
        <f t="array" ref="AF104">IF(('Tillegg- Inndata Øvrige'!G102) = 0, 0,-0.1*('Tillegg- Inndata Øvrige'!G102)*AI104*('Tillegg- Inndata Øvrige'!E102/'Tillegg- Inndata Øvrige'!G102)*_xlfn.XLOOKUP(51, År_etter_ferdigstillelse,  IF(LEFT('Tillegg- Inndata Øvrige'!B102, 2)= 49, f_tid_x_f_tek_d_0_037, f_tid_x_f_tek_d_0_01)))</f>
        <v>0</v>
      </c>
      <c r="AG104" s="572">
        <f>IF(('Tillegg- Inndata Øvrige'!G102) = 0, 0,'Tillegg- Inndata Øvrige'!X102*Faktorer!$Z$58)</f>
        <v>0</v>
      </c>
      <c r="AH104" s="573">
        <f>IF(('Tillegg- Inndata Øvrige'!G102) = 0, 0,'Tillegg- Inndata Øvrige'!Z102+('Tillegg- Inndata Øvrige'!X102+'Tillegg- Inndata Øvrige'!Y102)*(1-Faktorer!$Z$58)*0.5)</f>
        <v>0</v>
      </c>
      <c r="AI104" s="574">
        <f>IF(('Tillegg- Inndata Øvrige'!G102) = 0, 0,'Tillegg- Inndata Øvrige'!AA102+('Tillegg- Inndata Øvrige'!X102+'Tillegg- Inndata Øvrige'!Y102)*(1-Faktorer!$Z$58)*0.5)</f>
        <v>0</v>
      </c>
      <c r="AK104" s="90">
        <f t="shared" si="2"/>
        <v>0</v>
      </c>
      <c r="AL104" s="91">
        <f>'Tillegg- Res. Det. Øvrige'!N104</f>
        <v>0</v>
      </c>
      <c r="AM104" s="91" t="str">
        <f>IF(F104=0,"",('Tillegg- Inndata Øvrige'!E104+'Tillegg- Inndata Øvrige'!F104)*ROUNDDOWN('Tillegg- Inndata Øvrige'!I104,0)*(1+'Tillegg- Inndata Øvrige'!K104))</f>
        <v/>
      </c>
      <c r="AO104" s="1"/>
    </row>
    <row r="105" spans="2:41">
      <c r="B105" s="327">
        <f>'Tillegg- Inndata Øvrige'!B103</f>
        <v>0</v>
      </c>
      <c r="C105" s="327">
        <f>'Tillegg- Inndata Øvrige'!C103</f>
        <v>0</v>
      </c>
      <c r="D105" s="327">
        <f>'Tillegg- Inndata Øvrige'!D103</f>
        <v>0</v>
      </c>
      <c r="E105" s="421" cm="1">
        <f t="array" ref="E105">SUM(IFERROR(F105:AF105,0))</f>
        <v>0</v>
      </c>
      <c r="F105" s="330">
        <f>'Tillegg- Inndata Øvrige'!E103</f>
        <v>0</v>
      </c>
      <c r="G105" s="330">
        <f>IF('Tillegg- Inndata Øvrige'!AB103="Ja", -0.8*$F105, 0)</f>
        <v>0</v>
      </c>
      <c r="H105" s="330">
        <f>IF('Tillegg- Inndata Øvrige'!AC103="Ja", -0.4*$F105, 0)</f>
        <v>0</v>
      </c>
      <c r="I105" s="330">
        <f>IF('Tillegg- Inndata Øvrige'!AD103="Ja", -1*$F105, 0)</f>
        <v>0</v>
      </c>
      <c r="J105" s="330">
        <f>'Tillegg- Inndata Øvrige'!O103*'Tillegg- Inndata Øvrige'!P103</f>
        <v>0</v>
      </c>
      <c r="K105" s="330">
        <f>MAX(-0.75*(SUM('Tillegg- Res. Det. Øvrige'!F105:J105)),-'Tillegg- Inndata Øvrige'!O103*'Tillegg- Inndata Øvrige'!Q103)</f>
        <v>0</v>
      </c>
      <c r="L105" s="330">
        <f>'Tillegg- Inndata Øvrige'!S103*'Tillegg- Inndata Øvrige'!T103</f>
        <v>0</v>
      </c>
      <c r="M105" s="330">
        <f>MAX(-0.75*(SUM('Tillegg- Res. Det. Øvrige'!F105:I105,L105)),-'Tillegg- Inndata Øvrige'!S103*'Tillegg- Inndata Øvrige'!U103)</f>
        <v>0</v>
      </c>
      <c r="N105" s="331">
        <f>'Tillegg- Inndata Øvrige'!F103</f>
        <v>0</v>
      </c>
      <c r="O105" s="330">
        <f>'Tillegg- Inndata Øvrige'!O103*'Tillegg- Inndata Øvrige'!R103</f>
        <v>0</v>
      </c>
      <c r="P105" s="332">
        <f>'Tillegg- Inndata Øvrige'!S103*'Tillegg- Inndata Øvrige'!V103</f>
        <v>0</v>
      </c>
      <c r="Q105" s="333">
        <f>SUM(F105:J105,L105)*'Tillegg- Inndata Øvrige'!K103</f>
        <v>0</v>
      </c>
      <c r="R105" s="333">
        <f>(K105+M105)*'Tillegg- Inndata Øvrige'!K103</f>
        <v>0</v>
      </c>
      <c r="S105" s="333">
        <f>SUM(N105:P105)*'Tillegg- Inndata Øvrige'!K103</f>
        <v>0</v>
      </c>
      <c r="T105" s="334">
        <f>('Tillegg- Inndata Øvrige'!G103+'Tillegg- Inndata Øvrige'!O103+'Tillegg- Inndata Øvrige'!S103)*'Tillegg- Inndata Øvrige'!K103*Transport_utslipp_til_avfallshånderting_per_kg</f>
        <v>0</v>
      </c>
      <c r="U105" s="330">
        <f>IF('Tillegg- Inndata Øvrige'!E103 = 0, 0, 1.833*'Tillegg- Inndata Øvrige'!X103*'Tillegg- Inndata Øvrige'!K103*('Tillegg- Inndata Øvrige'!G103*('Tillegg- Inndata Øvrige'!L103*0.5+'Tillegg- Inndata Øvrige'!M103*0.8) + (12/44)*('Tillegg- Inndata Øvrige'!O103*'Tillegg- Inndata Øvrige'!Q103+'Tillegg- Inndata Øvrige'!S103*'Tillegg- Inndata Øvrige'!U103)))</f>
        <v>0</v>
      </c>
      <c r="V105" s="335">
        <f>IF('Tillegg- Inndata Øvrige'!G103 = 0, 0,  MAX(-SUM(F105:J105,L105)*'Tillegg- Inndata Øvrige'!L103, -0.114*IF('Tillegg- Inndata Øvrige'!H103 &gt; 49, _xlfn.XLOOKUP(49, År_etter_ferdigstillelse, karbon_opptak_faktor), _xlfn.XLOOKUP('Tillegg- Inndata Øvrige'!H103, År_etter_ferdigstillelse, karbon_opptak_faktor))*'Tillegg- Inndata Øvrige'!G103*'Tillegg- Inndata Øvrige'!L103*0.5))</f>
        <v>0</v>
      </c>
      <c r="W105" s="333">
        <f>IF('Tillegg- Inndata Øvrige'!G103=0,0,IF('Tillegg- Inndata Øvrige'!H103&gt;49,-0.064*'Tillegg- Inndata Øvrige'!G103*'Tillegg- Inndata Øvrige'!N103,-0.037*'Tillegg- Inndata Øvrige'!J103*'Tillegg- Inndata Øvrige'!N103))</f>
        <v>0</v>
      </c>
      <c r="X105" s="331" cm="1">
        <f t="array" ref="X105">IF(SUM(F105:J105,L105)=0, 0, SUM(F105:J105,L105)*(1+'Tillegg-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Y105" s="330" cm="1">
        <f t="array" ref="Y105">IF(X105=0, 0, SUM(K105,M105)*(1+'Tillegg-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Z105" s="336" cm="1">
        <f t="array" ref="Z105">IF(X105=0, 0, SUM(N105:P105)*(1+'Tillegg-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A105" s="336" cm="1">
        <f t="array" ref="AA105">IF(X105=0, 0, ('Tillegg- Inndata Øvrige'!G103+'Tillegg- Inndata Øvrige'!O103+'Tillegg- Inndata Øvrige'!S103)*(1+'Tillegg- Inndata Øvrige'!K103)*Transport_utslipp_til_avfallshånderting_per_kg*IF('Tillegg-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B105" s="334" cm="1">
        <f t="array" ref="AB105">IF(X105=0, 0,1.833*'Tillegg- Inndata Øvrige'!J103*('Tillegg- Inndata Øvrige'!X103*_xlfn.XLOOKUP(IF('Tillegg- Inndata Øvrige'!I103&lt;2,'Tillegg- Inndata Øvrige'!H103,'Tillegg- Inndata Øvrige'!H103*2), År_etter_ferdigstillelse, Faktorer!$Z$7:$Z$58))*('Tillegg- Inndata Øvrige'!L103*0.5+'Tillegg- Inndata Øvrige'!M103*0.8)*_xlfn.XLOOKUP(IF('Tillegg- Inndata Øvrige'!I103&lt;2,'Tillegg- Inndata Øvrige'!H103,'Tillegg- Inndata Øvrige'!H103*2), År_etter_ferdigstillelse,  IF(LEFT('Tillegg- Inndata Øvrige'!B103, 2)= 49, f_tid_x_f_tek_d_0_037, f_tid_x_f_tek_d_0_01)))</f>
        <v>0</v>
      </c>
      <c r="AC105" s="335">
        <f>IF(('Tillegg- Inndata Øvrige'!G103) = 0, 0,('Tillegg- Inndata Øvrige'!G103*((AG105+AI105)*Transport_utslipp_til_avfallshånderting_per_kg)+('Tillegg- Inndata Øvrige'!Z103*'ZERO-B Beregning'!D205)*IF('ZERO-B Beregning'!F206=0,'ZERO-B Beregning'!D206,'ZERO-B Beregning'!F206))*_xlfn.XLOOKUP(51, År_etter_ferdigstillelse, f_tid_x_f_tek_d_0_01))</f>
        <v>0</v>
      </c>
      <c r="AD105" s="337">
        <f>IF(('Tillegg- Inndata Øvrige'!G103) = 0, 0,1.833*('Tillegg- Inndata Øvrige'!G103*('Tillegg- Inndata Øvrige'!L103*0.5+'Tillegg- Inndata Øvrige'!M103*0.8)*AG105*_xlfn.XLOOKUP(51, År_etter_ferdigstillelse,  f_tid_x_f_tek_d_0_01)))</f>
        <v>0</v>
      </c>
      <c r="AE105" s="333" cm="1">
        <f t="array" ref="AE105">IF(('Tillegg- Inndata Øvrige'!G103) = 0, 0,-0.8*('Tillegg- Inndata Øvrige'!G103)*AH105*('Tillegg- Inndata Øvrige'!E103/'Tillegg- Inndata Øvrige'!G103)*_xlfn.XLOOKUP(51, År_etter_ferdigstillelse,  IF(LEFT('Tillegg- Inndata Øvrige'!B103, 2)= 49, f_tid_x_f_tek_d_0_037, f_tid_x_f_tek_d_0_01)))</f>
        <v>0</v>
      </c>
      <c r="AF105" s="338" cm="1">
        <f t="array" ref="AF105">IF(('Tillegg- Inndata Øvrige'!G103) = 0, 0,-0.1*('Tillegg- Inndata Øvrige'!G103)*AI105*('Tillegg- Inndata Øvrige'!E103/'Tillegg- Inndata Øvrige'!G103)*_xlfn.XLOOKUP(51, År_etter_ferdigstillelse,  IF(LEFT('Tillegg- Inndata Øvrige'!B103, 2)= 49, f_tid_x_f_tek_d_0_037, f_tid_x_f_tek_d_0_01)))</f>
        <v>0</v>
      </c>
      <c r="AG105" s="572">
        <f>IF(('Tillegg- Inndata Øvrige'!G103) = 0, 0,'Tillegg- Inndata Øvrige'!X103*Faktorer!$Z$58)</f>
        <v>0</v>
      </c>
      <c r="AH105" s="573">
        <f>IF(('Tillegg- Inndata Øvrige'!G103) = 0, 0,'Tillegg- Inndata Øvrige'!Z103+('Tillegg- Inndata Øvrige'!X103+'Tillegg- Inndata Øvrige'!Y103)*(1-Faktorer!$Z$58)*0.5)</f>
        <v>0</v>
      </c>
      <c r="AI105" s="574">
        <f>IF(('Tillegg- Inndata Øvrige'!G103) = 0, 0,'Tillegg- Inndata Øvrige'!AA103+('Tillegg- Inndata Øvrige'!X103+'Tillegg- Inndata Øvrige'!Y103)*(1-Faktorer!$Z$58)*0.5)</f>
        <v>0</v>
      </c>
      <c r="AK105" s="90">
        <f t="shared" si="2"/>
        <v>0</v>
      </c>
      <c r="AL105" s="91">
        <f>'Tillegg- Res. Det. Øvrige'!N105</f>
        <v>0</v>
      </c>
      <c r="AM105" s="91" t="str">
        <f>IF(F105=0,"",('Tillegg- Inndata Øvrige'!E105+'Tillegg- Inndata Øvrige'!F105)*ROUNDDOWN('Tillegg- Inndata Øvrige'!I105,0)*(1+'Tillegg- Inndata Øvrige'!K105))</f>
        <v/>
      </c>
      <c r="AO105" s="1"/>
    </row>
    <row r="106" spans="2:41">
      <c r="B106" s="327">
        <f>'Tillegg- Inndata Øvrige'!B104</f>
        <v>0</v>
      </c>
      <c r="C106" s="327">
        <f>'Tillegg- Inndata Øvrige'!C104</f>
        <v>0</v>
      </c>
      <c r="D106" s="327">
        <f>'Tillegg- Inndata Øvrige'!D104</f>
        <v>0</v>
      </c>
      <c r="E106" s="421" cm="1">
        <f t="array" ref="E106">SUM(IFERROR(F106:AF106,0))</f>
        <v>0</v>
      </c>
      <c r="F106" s="330">
        <f>'Tillegg- Inndata Øvrige'!E104</f>
        <v>0</v>
      </c>
      <c r="G106" s="330">
        <f>IF('Tillegg- Inndata Øvrige'!AB104="Ja", -0.8*$F106, 0)</f>
        <v>0</v>
      </c>
      <c r="H106" s="330">
        <f>IF('Tillegg- Inndata Øvrige'!AC104="Ja", -0.4*$F106, 0)</f>
        <v>0</v>
      </c>
      <c r="I106" s="330">
        <f>IF('Tillegg- Inndata Øvrige'!AD104="Ja", -1*$F106, 0)</f>
        <v>0</v>
      </c>
      <c r="J106" s="330">
        <f>'Tillegg- Inndata Øvrige'!O104*'Tillegg- Inndata Øvrige'!P104</f>
        <v>0</v>
      </c>
      <c r="K106" s="330">
        <f>MAX(-0.75*(SUM('Tillegg- Res. Det. Øvrige'!F106:J106)),-'Tillegg- Inndata Øvrige'!O104*'Tillegg- Inndata Øvrige'!Q104)</f>
        <v>0</v>
      </c>
      <c r="L106" s="330">
        <f>'Tillegg- Inndata Øvrige'!S104*'Tillegg- Inndata Øvrige'!T104</f>
        <v>0</v>
      </c>
      <c r="M106" s="330">
        <f>MAX(-0.75*(SUM('Tillegg- Res. Det. Øvrige'!F106:I106,L106)),-'Tillegg- Inndata Øvrige'!S104*'Tillegg- Inndata Øvrige'!U104)</f>
        <v>0</v>
      </c>
      <c r="N106" s="331">
        <f>'Tillegg- Inndata Øvrige'!F104</f>
        <v>0</v>
      </c>
      <c r="O106" s="330">
        <f>'Tillegg- Inndata Øvrige'!O104*'Tillegg- Inndata Øvrige'!R104</f>
        <v>0</v>
      </c>
      <c r="P106" s="332">
        <f>'Tillegg- Inndata Øvrige'!S104*'Tillegg- Inndata Øvrige'!V104</f>
        <v>0</v>
      </c>
      <c r="Q106" s="333">
        <f>SUM(F106:J106,L106)*'Tillegg- Inndata Øvrige'!K104</f>
        <v>0</v>
      </c>
      <c r="R106" s="333">
        <f>(K106+M106)*'Tillegg- Inndata Øvrige'!K104</f>
        <v>0</v>
      </c>
      <c r="S106" s="333">
        <f>SUM(N106:P106)*'Tillegg- Inndata Øvrige'!K104</f>
        <v>0</v>
      </c>
      <c r="T106" s="334">
        <f>('Tillegg- Inndata Øvrige'!G104+'Tillegg- Inndata Øvrige'!O104+'Tillegg- Inndata Øvrige'!S104)*'Tillegg- Inndata Øvrige'!K104*Transport_utslipp_til_avfallshånderting_per_kg</f>
        <v>0</v>
      </c>
      <c r="U106" s="330">
        <f>IF('Tillegg- Inndata Øvrige'!E104 = 0, 0, 1.833*'Tillegg- Inndata Øvrige'!X104*'Tillegg- Inndata Øvrige'!K104*('Tillegg- Inndata Øvrige'!G104*('Tillegg- Inndata Øvrige'!L104*0.5+'Tillegg- Inndata Øvrige'!M104*0.8) + (12/44)*('Tillegg- Inndata Øvrige'!O104*'Tillegg- Inndata Øvrige'!Q104+'Tillegg- Inndata Øvrige'!S104*'Tillegg- Inndata Øvrige'!U104)))</f>
        <v>0</v>
      </c>
      <c r="V106" s="335">
        <f>IF('Tillegg- Inndata Øvrige'!G104 = 0, 0,  MAX(-SUM(F106:J106,L106)*'Tillegg- Inndata Øvrige'!L104, -0.114*IF('Tillegg- Inndata Øvrige'!H104 &gt; 49, _xlfn.XLOOKUP(49, År_etter_ferdigstillelse, karbon_opptak_faktor), _xlfn.XLOOKUP('Tillegg- Inndata Øvrige'!H104, År_etter_ferdigstillelse, karbon_opptak_faktor))*'Tillegg- Inndata Øvrige'!G104*'Tillegg- Inndata Øvrige'!L104*0.5))</f>
        <v>0</v>
      </c>
      <c r="W106" s="333">
        <f>IF('Tillegg- Inndata Øvrige'!G104=0,0,IF('Tillegg- Inndata Øvrige'!H104&gt;49,-0.064*'Tillegg- Inndata Øvrige'!G104*'Tillegg- Inndata Øvrige'!N104,-0.037*'Tillegg- Inndata Øvrige'!J104*'Tillegg- Inndata Øvrige'!N104))</f>
        <v>0</v>
      </c>
      <c r="X106" s="331" cm="1">
        <f t="array" ref="X106">IF(SUM(F106:J106,L106)=0, 0, SUM(F106:J106,L106)*(1+'Tillegg-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Y106" s="330" cm="1">
        <f t="array" ref="Y106">IF(X106=0, 0, SUM(K106,M106)*(1+'Tillegg-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Z106" s="336" cm="1">
        <f t="array" ref="Z106">IF(X106=0, 0, SUM(N106:P106)*(1+'Tillegg-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A106" s="336" cm="1">
        <f t="array" ref="AA106">IF(X106=0, 0, ('Tillegg- Inndata Øvrige'!G104+'Tillegg- Inndata Øvrige'!O104+'Tillegg- Inndata Øvrige'!S104)*(1+'Tillegg- Inndata Øvrige'!K104)*Transport_utslipp_til_avfallshånderting_per_kg*IF('Tillegg-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B106" s="334" cm="1">
        <f t="array" ref="AB106">IF(X106=0, 0,1.833*'Tillegg- Inndata Øvrige'!J104*('Tillegg- Inndata Øvrige'!X104*_xlfn.XLOOKUP(IF('Tillegg- Inndata Øvrige'!I104&lt;2,'Tillegg- Inndata Øvrige'!H104,'Tillegg- Inndata Øvrige'!H104*2), År_etter_ferdigstillelse, Faktorer!$Z$7:$Z$58))*('Tillegg- Inndata Øvrige'!L104*0.5+'Tillegg- Inndata Øvrige'!M104*0.8)*_xlfn.XLOOKUP(IF('Tillegg- Inndata Øvrige'!I104&lt;2,'Tillegg- Inndata Øvrige'!H104,'Tillegg- Inndata Øvrige'!H104*2), År_etter_ferdigstillelse,  IF(LEFT('Tillegg- Inndata Øvrige'!B104, 2)= 49, f_tid_x_f_tek_d_0_037, f_tid_x_f_tek_d_0_01)))</f>
        <v>0</v>
      </c>
      <c r="AC106" s="335">
        <f>IF(('Tillegg- Inndata Øvrige'!G104) = 0, 0,('Tillegg- Inndata Øvrige'!G104*((AG106+AI106)*Transport_utslipp_til_avfallshånderting_per_kg)+('Tillegg- Inndata Øvrige'!Z104*'ZERO-B Beregning'!D206)*IF('ZERO-B Beregning'!F207=0,'ZERO-B Beregning'!D207,'ZERO-B Beregning'!F207))*_xlfn.XLOOKUP(51, År_etter_ferdigstillelse, f_tid_x_f_tek_d_0_01))</f>
        <v>0</v>
      </c>
      <c r="AD106" s="337">
        <f>IF(('Tillegg- Inndata Øvrige'!G104) = 0, 0,1.833*('Tillegg- Inndata Øvrige'!G104*('Tillegg- Inndata Øvrige'!L104*0.5+'Tillegg- Inndata Øvrige'!M104*0.8)*AG106*_xlfn.XLOOKUP(51, År_etter_ferdigstillelse,  f_tid_x_f_tek_d_0_01)))</f>
        <v>0</v>
      </c>
      <c r="AE106" s="333" cm="1">
        <f t="array" ref="AE106">IF(('Tillegg- Inndata Øvrige'!G104) = 0, 0,-0.8*('Tillegg- Inndata Øvrige'!G104)*AH106*('Tillegg- Inndata Øvrige'!E104/'Tillegg- Inndata Øvrige'!G104)*_xlfn.XLOOKUP(51, År_etter_ferdigstillelse,  IF(LEFT('Tillegg- Inndata Øvrige'!B104, 2)= 49, f_tid_x_f_tek_d_0_037, f_tid_x_f_tek_d_0_01)))</f>
        <v>0</v>
      </c>
      <c r="AF106" s="338" cm="1">
        <f t="array" ref="AF106">IF(('Tillegg- Inndata Øvrige'!G104) = 0, 0,-0.1*('Tillegg- Inndata Øvrige'!G104)*AI106*('Tillegg- Inndata Øvrige'!E104/'Tillegg- Inndata Øvrige'!G104)*_xlfn.XLOOKUP(51, År_etter_ferdigstillelse,  IF(LEFT('Tillegg- Inndata Øvrige'!B104, 2)= 49, f_tid_x_f_tek_d_0_037, f_tid_x_f_tek_d_0_01)))</f>
        <v>0</v>
      </c>
      <c r="AG106" s="572">
        <f>IF(('Tillegg- Inndata Øvrige'!G104) = 0, 0,'Tillegg- Inndata Øvrige'!X104*Faktorer!$Z$58)</f>
        <v>0</v>
      </c>
      <c r="AH106" s="573">
        <f>IF(('Tillegg- Inndata Øvrige'!G104) = 0, 0,'Tillegg- Inndata Øvrige'!Z104+('Tillegg- Inndata Øvrige'!X104+'Tillegg- Inndata Øvrige'!Y104)*(1-Faktorer!$Z$58)*0.5)</f>
        <v>0</v>
      </c>
      <c r="AI106" s="574">
        <f>IF(('Tillegg- Inndata Øvrige'!G104) = 0, 0,'Tillegg- Inndata Øvrige'!AA104+('Tillegg- Inndata Øvrige'!X104+'Tillegg- Inndata Øvrige'!Y104)*(1-Faktorer!$Z$58)*0.5)</f>
        <v>0</v>
      </c>
      <c r="AK106" s="90">
        <f t="shared" si="2"/>
        <v>0</v>
      </c>
      <c r="AL106" s="91">
        <f>'Tillegg- Res. Det. Øvrige'!N106</f>
        <v>0</v>
      </c>
      <c r="AM106" s="91" t="str">
        <f>IF(F106=0,"",('Tillegg- Inndata Øvrige'!E106+'Tillegg- Inndata Øvrige'!F106)*ROUNDDOWN('Tillegg- Inndata Øvrige'!I106,0)*(1+'Tillegg- Inndata Øvrige'!K106))</f>
        <v/>
      </c>
      <c r="AO106" s="1"/>
    </row>
    <row r="107" spans="2:41">
      <c r="B107" s="327">
        <f>'Tillegg- Inndata Øvrige'!B105</f>
        <v>0</v>
      </c>
      <c r="C107" s="327">
        <f>'Tillegg- Inndata Øvrige'!C105</f>
        <v>0</v>
      </c>
      <c r="D107" s="327">
        <f>'Tillegg- Inndata Øvrige'!D105</f>
        <v>0</v>
      </c>
      <c r="E107" s="421" cm="1">
        <f t="array" ref="E107">SUM(IFERROR(F107:AF107,0))</f>
        <v>0</v>
      </c>
      <c r="F107" s="330">
        <f>'Tillegg- Inndata Øvrige'!E105</f>
        <v>0</v>
      </c>
      <c r="G107" s="330">
        <f>IF('Tillegg- Inndata Øvrige'!AB105="Ja", -0.8*$F107, 0)</f>
        <v>0</v>
      </c>
      <c r="H107" s="330">
        <f>IF('Tillegg- Inndata Øvrige'!AC105="Ja", -0.4*$F107, 0)</f>
        <v>0</v>
      </c>
      <c r="I107" s="330">
        <f>IF('Tillegg- Inndata Øvrige'!AD105="Ja", -1*$F107, 0)</f>
        <v>0</v>
      </c>
      <c r="J107" s="330">
        <f>'Tillegg- Inndata Øvrige'!O105*'Tillegg- Inndata Øvrige'!P105</f>
        <v>0</v>
      </c>
      <c r="K107" s="330">
        <f>MAX(-0.75*(SUM('Tillegg- Res. Det. Øvrige'!F107:J107)),-'Tillegg- Inndata Øvrige'!O105*'Tillegg- Inndata Øvrige'!Q105)</f>
        <v>0</v>
      </c>
      <c r="L107" s="330">
        <f>'Tillegg- Inndata Øvrige'!S105*'Tillegg- Inndata Øvrige'!T105</f>
        <v>0</v>
      </c>
      <c r="M107" s="330">
        <f>MAX(-0.75*(SUM('Tillegg- Res. Det. Øvrige'!F107:I107,L107)),-'Tillegg- Inndata Øvrige'!S105*'Tillegg- Inndata Øvrige'!U105)</f>
        <v>0</v>
      </c>
      <c r="N107" s="331">
        <f>'Tillegg- Inndata Øvrige'!F105</f>
        <v>0</v>
      </c>
      <c r="O107" s="330">
        <f>'Tillegg- Inndata Øvrige'!O105*'Tillegg- Inndata Øvrige'!R105</f>
        <v>0</v>
      </c>
      <c r="P107" s="332">
        <f>'Tillegg- Inndata Øvrige'!S105*'Tillegg- Inndata Øvrige'!V105</f>
        <v>0</v>
      </c>
      <c r="Q107" s="333">
        <f>SUM(F107:J107,L107)*'Tillegg- Inndata Øvrige'!K105</f>
        <v>0</v>
      </c>
      <c r="R107" s="333">
        <f>(K107+M107)*'Tillegg- Inndata Øvrige'!K105</f>
        <v>0</v>
      </c>
      <c r="S107" s="333">
        <f>SUM(N107:P107)*'Tillegg- Inndata Øvrige'!K105</f>
        <v>0</v>
      </c>
      <c r="T107" s="334">
        <f>('Tillegg- Inndata Øvrige'!G105+'Tillegg- Inndata Øvrige'!O105+'Tillegg- Inndata Øvrige'!S105)*'Tillegg- Inndata Øvrige'!K105*Transport_utslipp_til_avfallshånderting_per_kg</f>
        <v>0</v>
      </c>
      <c r="U107" s="330">
        <f>IF('Tillegg- Inndata Øvrige'!E105 = 0, 0, 1.833*'Tillegg- Inndata Øvrige'!X105*'Tillegg- Inndata Øvrige'!K105*('Tillegg- Inndata Øvrige'!G105*('Tillegg- Inndata Øvrige'!L105*0.5+'Tillegg- Inndata Øvrige'!M105*0.8) + (12/44)*('Tillegg- Inndata Øvrige'!O105*'Tillegg- Inndata Øvrige'!Q105+'Tillegg- Inndata Øvrige'!S105*'Tillegg- Inndata Øvrige'!U105)))</f>
        <v>0</v>
      </c>
      <c r="V107" s="335">
        <f>IF('Tillegg- Inndata Øvrige'!G105 = 0, 0,  MAX(-SUM(F107:J107,L107)*'Tillegg- Inndata Øvrige'!L105, -0.114*IF('Tillegg- Inndata Øvrige'!H105 &gt; 49, _xlfn.XLOOKUP(49, År_etter_ferdigstillelse, karbon_opptak_faktor), _xlfn.XLOOKUP('Tillegg- Inndata Øvrige'!H105, År_etter_ferdigstillelse, karbon_opptak_faktor))*'Tillegg- Inndata Øvrige'!G105*'Tillegg- Inndata Øvrige'!L105*0.5))</f>
        <v>0</v>
      </c>
      <c r="W107" s="333">
        <f>IF('Tillegg- Inndata Øvrige'!G105=0,0,IF('Tillegg- Inndata Øvrige'!H105&gt;49,-0.064*'Tillegg- Inndata Øvrige'!G105*'Tillegg- Inndata Øvrige'!N105,-0.037*'Tillegg- Inndata Øvrige'!J105*'Tillegg- Inndata Øvrige'!N105))</f>
        <v>0</v>
      </c>
      <c r="X107" s="331" cm="1">
        <f t="array" ref="X107">IF(SUM(F107:J107,L107)=0, 0, SUM(F107:J107,L107)*(1+'Tillegg-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Y107" s="330" cm="1">
        <f t="array" ref="Y107">IF(X107=0, 0, SUM(K107,M107)*(1+'Tillegg-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Z107" s="336" cm="1">
        <f t="array" ref="Z107">IF(X107=0, 0, SUM(N107:P107)*(1+'Tillegg-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A107" s="336" cm="1">
        <f t="array" ref="AA107">IF(X107=0, 0, ('Tillegg- Inndata Øvrige'!G105+'Tillegg- Inndata Øvrige'!O105+'Tillegg- Inndata Øvrige'!S105)*(1+'Tillegg- Inndata Øvrige'!K105)*Transport_utslipp_til_avfallshånderting_per_kg*IF('Tillegg-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B107" s="334" cm="1">
        <f t="array" ref="AB107">IF(X107=0, 0,1.833*'Tillegg- Inndata Øvrige'!J105*('Tillegg- Inndata Øvrige'!X105*_xlfn.XLOOKUP(IF('Tillegg- Inndata Øvrige'!I105&lt;2,'Tillegg- Inndata Øvrige'!H105,'Tillegg- Inndata Øvrige'!H105*2), År_etter_ferdigstillelse, Faktorer!$Z$7:$Z$58))*('Tillegg- Inndata Øvrige'!L105*0.5+'Tillegg- Inndata Øvrige'!M105*0.8)*_xlfn.XLOOKUP(IF('Tillegg- Inndata Øvrige'!I105&lt;2,'Tillegg- Inndata Øvrige'!H105,'Tillegg- Inndata Øvrige'!H105*2), År_etter_ferdigstillelse,  IF(LEFT('Tillegg- Inndata Øvrige'!B105, 2)= 49, f_tid_x_f_tek_d_0_037, f_tid_x_f_tek_d_0_01)))</f>
        <v>0</v>
      </c>
      <c r="AC107" s="335">
        <f>IF(('Tillegg- Inndata Øvrige'!G105) = 0, 0,('Tillegg- Inndata Øvrige'!G105*((AG107+AI107)*Transport_utslipp_til_avfallshånderting_per_kg)+('Tillegg- Inndata Øvrige'!Z105*'ZERO-B Beregning'!D207)*IF('ZERO-B Beregning'!F208=0,'ZERO-B Beregning'!D208,'ZERO-B Beregning'!F208))*_xlfn.XLOOKUP(51, År_etter_ferdigstillelse, f_tid_x_f_tek_d_0_01))</f>
        <v>0</v>
      </c>
      <c r="AD107" s="337">
        <f>IF(('Tillegg- Inndata Øvrige'!G105) = 0, 0,1.833*('Tillegg- Inndata Øvrige'!G105*('Tillegg- Inndata Øvrige'!L105*0.5+'Tillegg- Inndata Øvrige'!M105*0.8)*AG107*_xlfn.XLOOKUP(51, År_etter_ferdigstillelse,  f_tid_x_f_tek_d_0_01)))</f>
        <v>0</v>
      </c>
      <c r="AE107" s="333" cm="1">
        <f t="array" ref="AE107">IF(('Tillegg- Inndata Øvrige'!G105) = 0, 0,-0.8*('Tillegg- Inndata Øvrige'!G105)*AH107*('Tillegg- Inndata Øvrige'!E105/'Tillegg- Inndata Øvrige'!G105)*_xlfn.XLOOKUP(51, År_etter_ferdigstillelse,  IF(LEFT('Tillegg- Inndata Øvrige'!B105, 2)= 49, f_tid_x_f_tek_d_0_037, f_tid_x_f_tek_d_0_01)))</f>
        <v>0</v>
      </c>
      <c r="AF107" s="338" cm="1">
        <f t="array" ref="AF107">IF(('Tillegg- Inndata Øvrige'!G105) = 0, 0,-0.1*('Tillegg- Inndata Øvrige'!G105)*AI107*('Tillegg- Inndata Øvrige'!E105/'Tillegg- Inndata Øvrige'!G105)*_xlfn.XLOOKUP(51, År_etter_ferdigstillelse,  IF(LEFT('Tillegg- Inndata Øvrige'!B105, 2)= 49, f_tid_x_f_tek_d_0_037, f_tid_x_f_tek_d_0_01)))</f>
        <v>0</v>
      </c>
      <c r="AG107" s="572">
        <f>IF(('Tillegg- Inndata Øvrige'!G105) = 0, 0,'Tillegg- Inndata Øvrige'!X105*Faktorer!$Z$58)</f>
        <v>0</v>
      </c>
      <c r="AH107" s="573">
        <f>IF(('Tillegg- Inndata Øvrige'!G105) = 0, 0,'Tillegg- Inndata Øvrige'!Z105+('Tillegg- Inndata Øvrige'!X105+'Tillegg- Inndata Øvrige'!Y105)*(1-Faktorer!$Z$58)*0.5)</f>
        <v>0</v>
      </c>
      <c r="AI107" s="574">
        <f>IF(('Tillegg- Inndata Øvrige'!G105) = 0, 0,'Tillegg- Inndata Øvrige'!AA105+('Tillegg- Inndata Øvrige'!X105+'Tillegg- Inndata Øvrige'!Y105)*(1-Faktorer!$Z$58)*0.5)</f>
        <v>0</v>
      </c>
      <c r="AK107" s="90">
        <f t="shared" si="2"/>
        <v>0</v>
      </c>
      <c r="AL107" s="91">
        <f>'Tillegg- Res. Det. Øvrige'!N107</f>
        <v>0</v>
      </c>
      <c r="AM107" s="91" t="str">
        <f>IF(F107=0,"",('Tillegg- Inndata Øvrige'!E107+'Tillegg- Inndata Øvrige'!F107)*ROUNDDOWN('Tillegg- Inndata Øvrige'!I107,0)*(1+'Tillegg- Inndata Øvrige'!K107))</f>
        <v/>
      </c>
      <c r="AO107" s="1"/>
    </row>
    <row r="108" spans="2:41">
      <c r="B108" s="327">
        <f>'Tillegg- Inndata Øvrige'!B106</f>
        <v>0</v>
      </c>
      <c r="C108" s="327">
        <f>'Tillegg- Inndata Øvrige'!C106</f>
        <v>0</v>
      </c>
      <c r="D108" s="327">
        <f>'Tillegg- Inndata Øvrige'!D106</f>
        <v>0</v>
      </c>
      <c r="E108" s="421" cm="1">
        <f t="array" ref="E108">SUM(IFERROR(F108:AF108,0))</f>
        <v>0</v>
      </c>
      <c r="F108" s="330">
        <f>'Tillegg- Inndata Øvrige'!E106</f>
        <v>0</v>
      </c>
      <c r="G108" s="330">
        <f>IF('Tillegg- Inndata Øvrige'!AB106="Ja", -0.8*$F108, 0)</f>
        <v>0</v>
      </c>
      <c r="H108" s="330">
        <f>IF('Tillegg- Inndata Øvrige'!AC106="Ja", -0.4*$F108, 0)</f>
        <v>0</v>
      </c>
      <c r="I108" s="330">
        <f>IF('Tillegg- Inndata Øvrige'!AD106="Ja", -1*$F108, 0)</f>
        <v>0</v>
      </c>
      <c r="J108" s="330">
        <f>'Tillegg- Inndata Øvrige'!O106*'Tillegg- Inndata Øvrige'!P106</f>
        <v>0</v>
      </c>
      <c r="K108" s="330">
        <f>MAX(-0.75*(SUM('Tillegg- Res. Det. Øvrige'!F108:J108)),-'Tillegg- Inndata Øvrige'!O106*'Tillegg- Inndata Øvrige'!Q106)</f>
        <v>0</v>
      </c>
      <c r="L108" s="330">
        <f>'Tillegg- Inndata Øvrige'!S106*'Tillegg- Inndata Øvrige'!T106</f>
        <v>0</v>
      </c>
      <c r="M108" s="330">
        <f>MAX(-0.75*(SUM('Tillegg- Res. Det. Øvrige'!F108:I108,L108)),-'Tillegg- Inndata Øvrige'!S106*'Tillegg- Inndata Øvrige'!U106)</f>
        <v>0</v>
      </c>
      <c r="N108" s="331">
        <f>'Tillegg- Inndata Øvrige'!F106</f>
        <v>0</v>
      </c>
      <c r="O108" s="330">
        <f>'Tillegg- Inndata Øvrige'!O106*'Tillegg- Inndata Øvrige'!R106</f>
        <v>0</v>
      </c>
      <c r="P108" s="332">
        <f>'Tillegg- Inndata Øvrige'!S106*'Tillegg- Inndata Øvrige'!V106</f>
        <v>0</v>
      </c>
      <c r="Q108" s="333">
        <f>SUM(F108:J108,L108)*'Tillegg- Inndata Øvrige'!K106</f>
        <v>0</v>
      </c>
      <c r="R108" s="333">
        <f>(K108+M108)*'Tillegg- Inndata Øvrige'!K106</f>
        <v>0</v>
      </c>
      <c r="S108" s="333">
        <f>SUM(N108:P108)*'Tillegg- Inndata Øvrige'!K106</f>
        <v>0</v>
      </c>
      <c r="T108" s="334">
        <f>('Tillegg- Inndata Øvrige'!G106+'Tillegg- Inndata Øvrige'!O106+'Tillegg- Inndata Øvrige'!S106)*'Tillegg- Inndata Øvrige'!K106*Transport_utslipp_til_avfallshånderting_per_kg</f>
        <v>0</v>
      </c>
      <c r="U108" s="330">
        <f>IF('Tillegg- Inndata Øvrige'!E106 = 0, 0, 1.833*'Tillegg- Inndata Øvrige'!X106*'Tillegg- Inndata Øvrige'!K106*('Tillegg- Inndata Øvrige'!G106*('Tillegg- Inndata Øvrige'!L106*0.5+'Tillegg- Inndata Øvrige'!M106*0.8) + (12/44)*('Tillegg- Inndata Øvrige'!O106*'Tillegg- Inndata Øvrige'!Q106+'Tillegg- Inndata Øvrige'!S106*'Tillegg- Inndata Øvrige'!U106)))</f>
        <v>0</v>
      </c>
      <c r="V108" s="335">
        <f>IF('Tillegg- Inndata Øvrige'!G106 = 0, 0,  MAX(-SUM(F108:J108,L108)*'Tillegg- Inndata Øvrige'!L106, -0.114*IF('Tillegg- Inndata Øvrige'!H106 &gt; 49, _xlfn.XLOOKUP(49, År_etter_ferdigstillelse, karbon_opptak_faktor), _xlfn.XLOOKUP('Tillegg- Inndata Øvrige'!H106, År_etter_ferdigstillelse, karbon_opptak_faktor))*'Tillegg- Inndata Øvrige'!G106*'Tillegg- Inndata Øvrige'!L106*0.5))</f>
        <v>0</v>
      </c>
      <c r="W108" s="333">
        <f>IF('Tillegg- Inndata Øvrige'!G106=0,0,IF('Tillegg- Inndata Øvrige'!H106&gt;49,-0.064*'Tillegg- Inndata Øvrige'!G106*'Tillegg- Inndata Øvrige'!N106,-0.037*'Tillegg- Inndata Øvrige'!J106*'Tillegg- Inndata Øvrige'!N106))</f>
        <v>0</v>
      </c>
      <c r="X108" s="331" cm="1">
        <f t="array" ref="X108">IF(SUM(F108:J108,L108)=0, 0, SUM(F108:J108,L108)*(1+'Tillegg-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Y108" s="330" cm="1">
        <f t="array" ref="Y108">IF(X108=0, 0, SUM(K108,M108)*(1+'Tillegg-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Z108" s="336" cm="1">
        <f t="array" ref="Z108">IF(X108=0, 0, SUM(N108:P108)*(1+'Tillegg-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A108" s="336" cm="1">
        <f t="array" ref="AA108">IF(X108=0, 0, ('Tillegg- Inndata Øvrige'!G106+'Tillegg- Inndata Øvrige'!O106+'Tillegg- Inndata Øvrige'!S106)*(1+'Tillegg- Inndata Øvrige'!K106)*Transport_utslipp_til_avfallshånderting_per_kg*IF('Tillegg-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B108" s="334" cm="1">
        <f t="array" ref="AB108">IF(X108=0, 0,1.833*'Tillegg- Inndata Øvrige'!J106*('Tillegg- Inndata Øvrige'!X106*_xlfn.XLOOKUP(IF('Tillegg- Inndata Øvrige'!I106&lt;2,'Tillegg- Inndata Øvrige'!H106,'Tillegg- Inndata Øvrige'!H106*2), År_etter_ferdigstillelse, Faktorer!$Z$7:$Z$58))*('Tillegg- Inndata Øvrige'!L106*0.5+'Tillegg- Inndata Øvrige'!M106*0.8)*_xlfn.XLOOKUP(IF('Tillegg- Inndata Øvrige'!I106&lt;2,'Tillegg- Inndata Øvrige'!H106,'Tillegg- Inndata Øvrige'!H106*2), År_etter_ferdigstillelse,  IF(LEFT('Tillegg- Inndata Øvrige'!B106, 2)= 49, f_tid_x_f_tek_d_0_037, f_tid_x_f_tek_d_0_01)))</f>
        <v>0</v>
      </c>
      <c r="AC108" s="335">
        <f>IF(('Tillegg- Inndata Øvrige'!G106) = 0, 0,('Tillegg- Inndata Øvrige'!G106*((AG108+AI108)*Transport_utslipp_til_avfallshånderting_per_kg)+('Tillegg- Inndata Øvrige'!Z106*'ZERO-B Beregning'!D208)*IF('ZERO-B Beregning'!F209=0,'ZERO-B Beregning'!D209,'ZERO-B Beregning'!F209))*_xlfn.XLOOKUP(51, År_etter_ferdigstillelse, f_tid_x_f_tek_d_0_01))</f>
        <v>0</v>
      </c>
      <c r="AD108" s="337">
        <f>IF(('Tillegg- Inndata Øvrige'!G106) = 0, 0,1.833*('Tillegg- Inndata Øvrige'!G106*('Tillegg- Inndata Øvrige'!L106*0.5+'Tillegg- Inndata Øvrige'!M106*0.8)*AG108*_xlfn.XLOOKUP(51, År_etter_ferdigstillelse,  f_tid_x_f_tek_d_0_01)))</f>
        <v>0</v>
      </c>
      <c r="AE108" s="333" cm="1">
        <f t="array" ref="AE108">IF(('Tillegg- Inndata Øvrige'!G106) = 0, 0,-0.8*('Tillegg- Inndata Øvrige'!G106)*AH108*('Tillegg- Inndata Øvrige'!E106/'Tillegg- Inndata Øvrige'!G106)*_xlfn.XLOOKUP(51, År_etter_ferdigstillelse,  IF(LEFT('Tillegg- Inndata Øvrige'!B106, 2)= 49, f_tid_x_f_tek_d_0_037, f_tid_x_f_tek_d_0_01)))</f>
        <v>0</v>
      </c>
      <c r="AF108" s="338" cm="1">
        <f t="array" ref="AF108">IF(('Tillegg- Inndata Øvrige'!G106) = 0, 0,-0.1*('Tillegg- Inndata Øvrige'!G106)*AI108*('Tillegg- Inndata Øvrige'!E106/'Tillegg- Inndata Øvrige'!G106)*_xlfn.XLOOKUP(51, År_etter_ferdigstillelse,  IF(LEFT('Tillegg- Inndata Øvrige'!B106, 2)= 49, f_tid_x_f_tek_d_0_037, f_tid_x_f_tek_d_0_01)))</f>
        <v>0</v>
      </c>
      <c r="AG108" s="572">
        <f>IF(('Tillegg- Inndata Øvrige'!G106) = 0, 0,'Tillegg- Inndata Øvrige'!X106*Faktorer!$Z$58)</f>
        <v>0</v>
      </c>
      <c r="AH108" s="573">
        <f>IF(('Tillegg- Inndata Øvrige'!G106) = 0, 0,'Tillegg- Inndata Øvrige'!Z106+('Tillegg- Inndata Øvrige'!X106+'Tillegg- Inndata Øvrige'!Y106)*(1-Faktorer!$Z$58)*0.5)</f>
        <v>0</v>
      </c>
      <c r="AI108" s="574">
        <f>IF(('Tillegg- Inndata Øvrige'!G106) = 0, 0,'Tillegg- Inndata Øvrige'!AA106+('Tillegg- Inndata Øvrige'!X106+'Tillegg- Inndata Øvrige'!Y106)*(1-Faktorer!$Z$58)*0.5)</f>
        <v>0</v>
      </c>
      <c r="AK108" s="90">
        <f t="shared" si="2"/>
        <v>0</v>
      </c>
      <c r="AL108" s="91">
        <f>'Tillegg- Res. Det. Øvrige'!N108</f>
        <v>0</v>
      </c>
      <c r="AM108" s="91" t="str">
        <f>IF(F108=0,"",('Tillegg- Inndata Øvrige'!E108+'Tillegg- Inndata Øvrige'!F108)*ROUNDDOWN('Tillegg- Inndata Øvrige'!I108,0)*(1+'Tillegg- Inndata Øvrige'!K108))</f>
        <v/>
      </c>
      <c r="AO108" s="1"/>
    </row>
    <row r="109" spans="2:41">
      <c r="B109" s="327">
        <f>'Tillegg- Inndata Øvrige'!B107</f>
        <v>0</v>
      </c>
      <c r="C109" s="327">
        <f>'Tillegg- Inndata Øvrige'!C107</f>
        <v>0</v>
      </c>
      <c r="D109" s="327">
        <f>'Tillegg- Inndata Øvrige'!D107</f>
        <v>0</v>
      </c>
      <c r="E109" s="421" cm="1">
        <f t="array" ref="E109">SUM(IFERROR(F109:AF109,0))</f>
        <v>0</v>
      </c>
      <c r="F109" s="330">
        <f>'Tillegg- Inndata Øvrige'!E107</f>
        <v>0</v>
      </c>
      <c r="G109" s="330">
        <f>IF('Tillegg- Inndata Øvrige'!AB107="Ja", -0.8*$F109, 0)</f>
        <v>0</v>
      </c>
      <c r="H109" s="330">
        <f>IF('Tillegg- Inndata Øvrige'!AC107="Ja", -0.4*$F109, 0)</f>
        <v>0</v>
      </c>
      <c r="I109" s="330">
        <f>IF('Tillegg- Inndata Øvrige'!AD107="Ja", -1*$F109, 0)</f>
        <v>0</v>
      </c>
      <c r="J109" s="330">
        <f>'Tillegg- Inndata Øvrige'!O107*'Tillegg- Inndata Øvrige'!P107</f>
        <v>0</v>
      </c>
      <c r="K109" s="330">
        <f>MAX(-0.75*(SUM('Tillegg- Res. Det. Øvrige'!F109:J109)),-'Tillegg- Inndata Øvrige'!O107*'Tillegg- Inndata Øvrige'!Q107)</f>
        <v>0</v>
      </c>
      <c r="L109" s="330">
        <f>'Tillegg- Inndata Øvrige'!S107*'Tillegg- Inndata Øvrige'!T107</f>
        <v>0</v>
      </c>
      <c r="M109" s="330">
        <f>MAX(-0.75*(SUM('Tillegg- Res. Det. Øvrige'!F109:I109,L109)),-'Tillegg- Inndata Øvrige'!S107*'Tillegg- Inndata Øvrige'!U107)</f>
        <v>0</v>
      </c>
      <c r="N109" s="331">
        <f>'Tillegg- Inndata Øvrige'!F107</f>
        <v>0</v>
      </c>
      <c r="O109" s="330">
        <f>'Tillegg- Inndata Øvrige'!O107*'Tillegg- Inndata Øvrige'!R107</f>
        <v>0</v>
      </c>
      <c r="P109" s="332">
        <f>'Tillegg- Inndata Øvrige'!S107*'Tillegg- Inndata Øvrige'!V107</f>
        <v>0</v>
      </c>
      <c r="Q109" s="333">
        <f>SUM(F109:J109,L109)*'Tillegg- Inndata Øvrige'!K107</f>
        <v>0</v>
      </c>
      <c r="R109" s="333">
        <f>(K109+M109)*'Tillegg- Inndata Øvrige'!K107</f>
        <v>0</v>
      </c>
      <c r="S109" s="333">
        <f>SUM(N109:P109)*'Tillegg- Inndata Øvrige'!K107</f>
        <v>0</v>
      </c>
      <c r="T109" s="334">
        <f>('Tillegg- Inndata Øvrige'!G107+'Tillegg- Inndata Øvrige'!O107+'Tillegg- Inndata Øvrige'!S107)*'Tillegg- Inndata Øvrige'!K107*Transport_utslipp_til_avfallshånderting_per_kg</f>
        <v>0</v>
      </c>
      <c r="U109" s="330">
        <f>IF('Tillegg- Inndata Øvrige'!E107 = 0, 0, 1.833*'Tillegg- Inndata Øvrige'!X107*'Tillegg- Inndata Øvrige'!K107*('Tillegg- Inndata Øvrige'!G107*('Tillegg- Inndata Øvrige'!L107*0.5+'Tillegg- Inndata Øvrige'!M107*0.8) + (12/44)*('Tillegg- Inndata Øvrige'!O107*'Tillegg- Inndata Øvrige'!Q107+'Tillegg- Inndata Øvrige'!S107*'Tillegg- Inndata Øvrige'!U107)))</f>
        <v>0</v>
      </c>
      <c r="V109" s="335">
        <f>IF('Tillegg- Inndata Øvrige'!G107 = 0, 0,  MAX(-SUM(F109:J109,L109)*'Tillegg- Inndata Øvrige'!L107, -0.114*IF('Tillegg- Inndata Øvrige'!H107 &gt; 49, _xlfn.XLOOKUP(49, År_etter_ferdigstillelse, karbon_opptak_faktor), _xlfn.XLOOKUP('Tillegg- Inndata Øvrige'!H107, År_etter_ferdigstillelse, karbon_opptak_faktor))*'Tillegg- Inndata Øvrige'!G107*'Tillegg- Inndata Øvrige'!L107*0.5))</f>
        <v>0</v>
      </c>
      <c r="W109" s="333">
        <f>IF('Tillegg- Inndata Øvrige'!G107=0,0,IF('Tillegg- Inndata Øvrige'!H107&gt;49,-0.064*'Tillegg- Inndata Øvrige'!G107*'Tillegg- Inndata Øvrige'!N107,-0.037*'Tillegg- Inndata Øvrige'!J107*'Tillegg- Inndata Øvrige'!N107))</f>
        <v>0</v>
      </c>
      <c r="X109" s="331" cm="1">
        <f t="array" ref="X109">IF(SUM(F109:J109,L109)=0, 0, SUM(F109:J109,L109)*(1+'Tillegg-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Y109" s="330" cm="1">
        <f t="array" ref="Y109">IF(X109=0, 0, SUM(K109,M109)*(1+'Tillegg-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Z109" s="336" cm="1">
        <f t="array" ref="Z109">IF(X109=0, 0, SUM(N109:P109)*(1+'Tillegg-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A109" s="336" cm="1">
        <f t="array" ref="AA109">IF(X109=0, 0, ('Tillegg- Inndata Øvrige'!G107+'Tillegg- Inndata Øvrige'!O107+'Tillegg- Inndata Øvrige'!S107)*(1+'Tillegg- Inndata Øvrige'!K107)*Transport_utslipp_til_avfallshånderting_per_kg*IF('Tillegg-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B109" s="334" cm="1">
        <f t="array" ref="AB109">IF(X109=0, 0,1.833*'Tillegg- Inndata Øvrige'!J107*('Tillegg- Inndata Øvrige'!X107*_xlfn.XLOOKUP(IF('Tillegg- Inndata Øvrige'!I107&lt;2,'Tillegg- Inndata Øvrige'!H107,'Tillegg- Inndata Øvrige'!H107*2), År_etter_ferdigstillelse, Faktorer!$Z$7:$Z$58))*('Tillegg- Inndata Øvrige'!L107*0.5+'Tillegg- Inndata Øvrige'!M107*0.8)*_xlfn.XLOOKUP(IF('Tillegg- Inndata Øvrige'!I107&lt;2,'Tillegg- Inndata Øvrige'!H107,'Tillegg- Inndata Øvrige'!H107*2), År_etter_ferdigstillelse,  IF(LEFT('Tillegg- Inndata Øvrige'!B107, 2)= 49, f_tid_x_f_tek_d_0_037, f_tid_x_f_tek_d_0_01)))</f>
        <v>0</v>
      </c>
      <c r="AC109" s="335">
        <f>IF(('Tillegg- Inndata Øvrige'!G107) = 0, 0,('Tillegg- Inndata Øvrige'!G107*((AG109+AI109)*Transport_utslipp_til_avfallshånderting_per_kg)+('Tillegg- Inndata Øvrige'!Z107*'ZERO-B Beregning'!D209)*IF('ZERO-B Beregning'!F210=0,'ZERO-B Beregning'!D210,'ZERO-B Beregning'!F210))*_xlfn.XLOOKUP(51, År_etter_ferdigstillelse, f_tid_x_f_tek_d_0_01))</f>
        <v>0</v>
      </c>
      <c r="AD109" s="337">
        <f>IF(('Tillegg- Inndata Øvrige'!G107) = 0, 0,1.833*('Tillegg- Inndata Øvrige'!G107*('Tillegg- Inndata Øvrige'!L107*0.5+'Tillegg- Inndata Øvrige'!M107*0.8)*AG109*_xlfn.XLOOKUP(51, År_etter_ferdigstillelse,  f_tid_x_f_tek_d_0_01)))</f>
        <v>0</v>
      </c>
      <c r="AE109" s="333" cm="1">
        <f t="array" ref="AE109">IF(('Tillegg- Inndata Øvrige'!G107) = 0, 0,-0.8*('Tillegg- Inndata Øvrige'!G107)*AH109*('Tillegg- Inndata Øvrige'!E107/'Tillegg- Inndata Øvrige'!G107)*_xlfn.XLOOKUP(51, År_etter_ferdigstillelse,  IF(LEFT('Tillegg- Inndata Øvrige'!B107, 2)= 49, f_tid_x_f_tek_d_0_037, f_tid_x_f_tek_d_0_01)))</f>
        <v>0</v>
      </c>
      <c r="AF109" s="338" cm="1">
        <f t="array" ref="AF109">IF(('Tillegg- Inndata Øvrige'!G107) = 0, 0,-0.1*('Tillegg- Inndata Øvrige'!G107)*AI109*('Tillegg- Inndata Øvrige'!E107/'Tillegg- Inndata Øvrige'!G107)*_xlfn.XLOOKUP(51, År_etter_ferdigstillelse,  IF(LEFT('Tillegg- Inndata Øvrige'!B107, 2)= 49, f_tid_x_f_tek_d_0_037, f_tid_x_f_tek_d_0_01)))</f>
        <v>0</v>
      </c>
      <c r="AG109" s="572">
        <f>IF(('Tillegg- Inndata Øvrige'!G107) = 0, 0,'Tillegg- Inndata Øvrige'!X107*Faktorer!$Z$58)</f>
        <v>0</v>
      </c>
      <c r="AH109" s="573">
        <f>IF(('Tillegg- Inndata Øvrige'!G107) = 0, 0,'Tillegg- Inndata Øvrige'!Z107+('Tillegg- Inndata Øvrige'!X107+'Tillegg- Inndata Øvrige'!Y107)*(1-Faktorer!$Z$58)*0.5)</f>
        <v>0</v>
      </c>
      <c r="AI109" s="574">
        <f>IF(('Tillegg- Inndata Øvrige'!G107) = 0, 0,'Tillegg- Inndata Øvrige'!AA107+('Tillegg- Inndata Øvrige'!X107+'Tillegg- Inndata Øvrige'!Y107)*(1-Faktorer!$Z$58)*0.5)</f>
        <v>0</v>
      </c>
      <c r="AK109" s="90">
        <f t="shared" si="2"/>
        <v>0</v>
      </c>
      <c r="AL109" s="91">
        <f>'Tillegg- Res. Det. Øvrige'!N109</f>
        <v>0</v>
      </c>
      <c r="AM109" s="91" t="str">
        <f>IF(F109=0,"",('Tillegg- Inndata Øvrige'!E109+'Tillegg- Inndata Øvrige'!F109)*ROUNDDOWN('Tillegg- Inndata Øvrige'!I109,0)*(1+'Tillegg- Inndata Øvrige'!K109))</f>
        <v/>
      </c>
      <c r="AO109" s="1"/>
    </row>
    <row r="110" spans="2:41">
      <c r="B110" s="327">
        <f>'Tillegg- Inndata Øvrige'!B108</f>
        <v>0</v>
      </c>
      <c r="C110" s="327">
        <f>'Tillegg- Inndata Øvrige'!C108</f>
        <v>0</v>
      </c>
      <c r="D110" s="327">
        <f>'Tillegg- Inndata Øvrige'!D108</f>
        <v>0</v>
      </c>
      <c r="E110" s="421" cm="1">
        <f t="array" ref="E110">SUM(IFERROR(F110:AF110,0))</f>
        <v>0</v>
      </c>
      <c r="F110" s="330">
        <f>'Tillegg- Inndata Øvrige'!E108</f>
        <v>0</v>
      </c>
      <c r="G110" s="330">
        <f>IF('Tillegg- Inndata Øvrige'!AB108="Ja", -0.8*$F110, 0)</f>
        <v>0</v>
      </c>
      <c r="H110" s="330">
        <f>IF('Tillegg- Inndata Øvrige'!AC108="Ja", -0.4*$F110, 0)</f>
        <v>0</v>
      </c>
      <c r="I110" s="330">
        <f>IF('Tillegg- Inndata Øvrige'!AD108="Ja", -1*$F110, 0)</f>
        <v>0</v>
      </c>
      <c r="J110" s="330">
        <f>'Tillegg- Inndata Øvrige'!O108*'Tillegg- Inndata Øvrige'!P108</f>
        <v>0</v>
      </c>
      <c r="K110" s="330">
        <f>MAX(-0.75*(SUM('Tillegg- Res. Det. Øvrige'!F110:J110)),-'Tillegg- Inndata Øvrige'!O108*'Tillegg- Inndata Øvrige'!Q108)</f>
        <v>0</v>
      </c>
      <c r="L110" s="330">
        <f>'Tillegg- Inndata Øvrige'!S108*'Tillegg- Inndata Øvrige'!T108</f>
        <v>0</v>
      </c>
      <c r="M110" s="330">
        <f>MAX(-0.75*(SUM('Tillegg- Res. Det. Øvrige'!F110:I110,L110)),-'Tillegg- Inndata Øvrige'!S108*'Tillegg- Inndata Øvrige'!U108)</f>
        <v>0</v>
      </c>
      <c r="N110" s="331">
        <f>'Tillegg- Inndata Øvrige'!F108</f>
        <v>0</v>
      </c>
      <c r="O110" s="330">
        <f>'Tillegg- Inndata Øvrige'!O108*'Tillegg- Inndata Øvrige'!R108</f>
        <v>0</v>
      </c>
      <c r="P110" s="332">
        <f>'Tillegg- Inndata Øvrige'!S108*'Tillegg- Inndata Øvrige'!V108</f>
        <v>0</v>
      </c>
      <c r="Q110" s="333">
        <f>SUM(F110:J110,L110)*'Tillegg- Inndata Øvrige'!K108</f>
        <v>0</v>
      </c>
      <c r="R110" s="333">
        <f>(K110+M110)*'Tillegg- Inndata Øvrige'!K108</f>
        <v>0</v>
      </c>
      <c r="S110" s="333">
        <f>SUM(N110:P110)*'Tillegg- Inndata Øvrige'!K108</f>
        <v>0</v>
      </c>
      <c r="T110" s="334">
        <f>('Tillegg- Inndata Øvrige'!G108+'Tillegg- Inndata Øvrige'!O108+'Tillegg- Inndata Øvrige'!S108)*'Tillegg- Inndata Øvrige'!K108*Transport_utslipp_til_avfallshånderting_per_kg</f>
        <v>0</v>
      </c>
      <c r="U110" s="330">
        <f>IF('Tillegg- Inndata Øvrige'!E108 = 0, 0, 1.833*'Tillegg- Inndata Øvrige'!X108*'Tillegg- Inndata Øvrige'!K108*('Tillegg- Inndata Øvrige'!G108*('Tillegg- Inndata Øvrige'!L108*0.5+'Tillegg- Inndata Øvrige'!M108*0.8) + (12/44)*('Tillegg- Inndata Øvrige'!O108*'Tillegg- Inndata Øvrige'!Q108+'Tillegg- Inndata Øvrige'!S108*'Tillegg- Inndata Øvrige'!U108)))</f>
        <v>0</v>
      </c>
      <c r="V110" s="335">
        <f>IF('Tillegg- Inndata Øvrige'!G108 = 0, 0,  MAX(-SUM(F110:J110,L110)*'Tillegg- Inndata Øvrige'!L108, -0.114*IF('Tillegg- Inndata Øvrige'!H108 &gt; 49, _xlfn.XLOOKUP(49, År_etter_ferdigstillelse, karbon_opptak_faktor), _xlfn.XLOOKUP('Tillegg- Inndata Øvrige'!H108, År_etter_ferdigstillelse, karbon_opptak_faktor))*'Tillegg- Inndata Øvrige'!G108*'Tillegg- Inndata Øvrige'!L108*0.5))</f>
        <v>0</v>
      </c>
      <c r="W110" s="333">
        <f>IF('Tillegg- Inndata Øvrige'!G108=0,0,IF('Tillegg- Inndata Øvrige'!H108&gt;49,-0.064*'Tillegg- Inndata Øvrige'!G108*'Tillegg- Inndata Øvrige'!N108,-0.037*'Tillegg- Inndata Øvrige'!J108*'Tillegg- Inndata Øvrige'!N108))</f>
        <v>0</v>
      </c>
      <c r="X110" s="331" cm="1">
        <f t="array" ref="X110">IF(SUM(F110:J110,L110)=0, 0, SUM(F110:J110,L110)*(1+'Tillegg-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Y110" s="330" cm="1">
        <f t="array" ref="Y110">IF(X110=0, 0, SUM(K110,M110)*(1+'Tillegg-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Z110" s="336" cm="1">
        <f t="array" ref="Z110">IF(X110=0, 0, SUM(N110:P110)*(1+'Tillegg-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A110" s="336" cm="1">
        <f t="array" ref="AA110">IF(X110=0, 0, ('Tillegg- Inndata Øvrige'!G108+'Tillegg- Inndata Øvrige'!O108+'Tillegg- Inndata Øvrige'!S108)*(1+'Tillegg- Inndata Øvrige'!K108)*Transport_utslipp_til_avfallshånderting_per_kg*IF('Tillegg-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B110" s="334" cm="1">
        <f t="array" ref="AB110">IF(X110=0, 0,1.833*'Tillegg- Inndata Øvrige'!J108*('Tillegg- Inndata Øvrige'!X108*_xlfn.XLOOKUP(IF('Tillegg- Inndata Øvrige'!I108&lt;2,'Tillegg- Inndata Øvrige'!H108,'Tillegg- Inndata Øvrige'!H108*2), År_etter_ferdigstillelse, Faktorer!$Z$7:$Z$58))*('Tillegg- Inndata Øvrige'!L108*0.5+'Tillegg- Inndata Øvrige'!M108*0.8)*_xlfn.XLOOKUP(IF('Tillegg- Inndata Øvrige'!I108&lt;2,'Tillegg- Inndata Øvrige'!H108,'Tillegg- Inndata Øvrige'!H108*2), År_etter_ferdigstillelse,  IF(LEFT('Tillegg- Inndata Øvrige'!B108, 2)= 49, f_tid_x_f_tek_d_0_037, f_tid_x_f_tek_d_0_01)))</f>
        <v>0</v>
      </c>
      <c r="AC110" s="335">
        <f>IF(('Tillegg- Inndata Øvrige'!G108) = 0, 0,('Tillegg- Inndata Øvrige'!G108*((AG110+AI110)*Transport_utslipp_til_avfallshånderting_per_kg)+('Tillegg- Inndata Øvrige'!Z108*'ZERO-B Beregning'!D210)*IF('ZERO-B Beregning'!F211=0,'ZERO-B Beregning'!D211,'ZERO-B Beregning'!F211))*_xlfn.XLOOKUP(51, År_etter_ferdigstillelse, f_tid_x_f_tek_d_0_01))</f>
        <v>0</v>
      </c>
      <c r="AD110" s="337">
        <f>IF(('Tillegg- Inndata Øvrige'!G108) = 0, 0,1.833*('Tillegg- Inndata Øvrige'!G108*('Tillegg- Inndata Øvrige'!L108*0.5+'Tillegg- Inndata Øvrige'!M108*0.8)*AG110*_xlfn.XLOOKUP(51, År_etter_ferdigstillelse,  f_tid_x_f_tek_d_0_01)))</f>
        <v>0</v>
      </c>
      <c r="AE110" s="333" cm="1">
        <f t="array" ref="AE110">IF(('Tillegg- Inndata Øvrige'!G108) = 0, 0,-0.8*('Tillegg- Inndata Øvrige'!G108)*AH110*('Tillegg- Inndata Øvrige'!E108/'Tillegg- Inndata Øvrige'!G108)*_xlfn.XLOOKUP(51, År_etter_ferdigstillelse,  IF(LEFT('Tillegg- Inndata Øvrige'!B108, 2)= 49, f_tid_x_f_tek_d_0_037, f_tid_x_f_tek_d_0_01)))</f>
        <v>0</v>
      </c>
      <c r="AF110" s="338" cm="1">
        <f t="array" ref="AF110">IF(('Tillegg- Inndata Øvrige'!G108) = 0, 0,-0.1*('Tillegg- Inndata Øvrige'!G108)*AI110*('Tillegg- Inndata Øvrige'!E108/'Tillegg- Inndata Øvrige'!G108)*_xlfn.XLOOKUP(51, År_etter_ferdigstillelse,  IF(LEFT('Tillegg- Inndata Øvrige'!B108, 2)= 49, f_tid_x_f_tek_d_0_037, f_tid_x_f_tek_d_0_01)))</f>
        <v>0</v>
      </c>
      <c r="AG110" s="572">
        <f>IF(('Tillegg- Inndata Øvrige'!G108) = 0, 0,'Tillegg- Inndata Øvrige'!X108*Faktorer!$Z$58)</f>
        <v>0</v>
      </c>
      <c r="AH110" s="573">
        <f>IF(('Tillegg- Inndata Øvrige'!G108) = 0, 0,'Tillegg- Inndata Øvrige'!Z108+('Tillegg- Inndata Øvrige'!X108+'Tillegg- Inndata Øvrige'!Y108)*(1-Faktorer!$Z$58)*0.5)</f>
        <v>0</v>
      </c>
      <c r="AI110" s="574">
        <f>IF(('Tillegg- Inndata Øvrige'!G108) = 0, 0,'Tillegg- Inndata Øvrige'!AA108+('Tillegg- Inndata Øvrige'!X108+'Tillegg- Inndata Øvrige'!Y108)*(1-Faktorer!$Z$58)*0.5)</f>
        <v>0</v>
      </c>
      <c r="AK110" s="90">
        <f t="shared" si="2"/>
        <v>0</v>
      </c>
      <c r="AL110" s="91">
        <f>'Tillegg- Res. Det. Øvrige'!N110</f>
        <v>0</v>
      </c>
      <c r="AM110" s="91" t="str">
        <f>IF(F110=0,"",('Tillegg- Inndata Øvrige'!E110+'Tillegg- Inndata Øvrige'!F110)*ROUNDDOWN('Tillegg- Inndata Øvrige'!I110,0)*(1+'Tillegg- Inndata Øvrige'!K110))</f>
        <v/>
      </c>
      <c r="AO110" s="1"/>
    </row>
    <row r="111" spans="2:41">
      <c r="B111" s="327">
        <f>'Tillegg- Inndata Øvrige'!B109</f>
        <v>0</v>
      </c>
      <c r="C111" s="327">
        <f>'Tillegg- Inndata Øvrige'!C109</f>
        <v>0</v>
      </c>
      <c r="D111" s="327">
        <f>'Tillegg- Inndata Øvrige'!D109</f>
        <v>0</v>
      </c>
      <c r="E111" s="421" cm="1">
        <f t="array" ref="E111">SUM(IFERROR(F111:AF111,0))</f>
        <v>0</v>
      </c>
      <c r="F111" s="330">
        <f>'Tillegg- Inndata Øvrige'!E109</f>
        <v>0</v>
      </c>
      <c r="G111" s="330">
        <f>IF('Tillegg- Inndata Øvrige'!AB109="Ja", -0.8*$F111, 0)</f>
        <v>0</v>
      </c>
      <c r="H111" s="330">
        <f>IF('Tillegg- Inndata Øvrige'!AC109="Ja", -0.4*$F111, 0)</f>
        <v>0</v>
      </c>
      <c r="I111" s="330">
        <f>IF('Tillegg- Inndata Øvrige'!AD109="Ja", -1*$F111, 0)</f>
        <v>0</v>
      </c>
      <c r="J111" s="330">
        <f>'Tillegg- Inndata Øvrige'!O109*'Tillegg- Inndata Øvrige'!P109</f>
        <v>0</v>
      </c>
      <c r="K111" s="330">
        <f>MAX(-0.75*(SUM('Tillegg- Res. Det. Øvrige'!F111:J111)),-'Tillegg- Inndata Øvrige'!O109*'Tillegg- Inndata Øvrige'!Q109)</f>
        <v>0</v>
      </c>
      <c r="L111" s="330">
        <f>'Tillegg- Inndata Øvrige'!S109*'Tillegg- Inndata Øvrige'!T109</f>
        <v>0</v>
      </c>
      <c r="M111" s="330">
        <f>MAX(-0.75*(SUM('Tillegg- Res. Det. Øvrige'!F111:I111,L111)),-'Tillegg- Inndata Øvrige'!S109*'Tillegg- Inndata Øvrige'!U109)</f>
        <v>0</v>
      </c>
      <c r="N111" s="331">
        <f>'Tillegg- Inndata Øvrige'!F109</f>
        <v>0</v>
      </c>
      <c r="O111" s="330">
        <f>'Tillegg- Inndata Øvrige'!O109*'Tillegg- Inndata Øvrige'!R109</f>
        <v>0</v>
      </c>
      <c r="P111" s="332">
        <f>'Tillegg- Inndata Øvrige'!S109*'Tillegg- Inndata Øvrige'!V109</f>
        <v>0</v>
      </c>
      <c r="Q111" s="333">
        <f>SUM(F111:J111,L111)*'Tillegg- Inndata Øvrige'!K109</f>
        <v>0</v>
      </c>
      <c r="R111" s="333">
        <f>(K111+M111)*'Tillegg- Inndata Øvrige'!K109</f>
        <v>0</v>
      </c>
      <c r="S111" s="333">
        <f>SUM(N111:P111)*'Tillegg- Inndata Øvrige'!K109</f>
        <v>0</v>
      </c>
      <c r="T111" s="334">
        <f>('Tillegg- Inndata Øvrige'!G109+'Tillegg- Inndata Øvrige'!O109+'Tillegg- Inndata Øvrige'!S109)*'Tillegg- Inndata Øvrige'!K109*Transport_utslipp_til_avfallshånderting_per_kg</f>
        <v>0</v>
      </c>
      <c r="U111" s="330">
        <f>IF('Tillegg- Inndata Øvrige'!E109 = 0, 0, 1.833*'Tillegg- Inndata Øvrige'!X109*'Tillegg- Inndata Øvrige'!K109*('Tillegg- Inndata Øvrige'!G109*('Tillegg- Inndata Øvrige'!L109*0.5+'Tillegg- Inndata Øvrige'!M109*0.8) + (12/44)*('Tillegg- Inndata Øvrige'!O109*'Tillegg- Inndata Øvrige'!Q109+'Tillegg- Inndata Øvrige'!S109*'Tillegg- Inndata Øvrige'!U109)))</f>
        <v>0</v>
      </c>
      <c r="V111" s="335">
        <f>IF('Tillegg- Inndata Øvrige'!G109 = 0, 0,  MAX(-SUM(F111:J111,L111)*'Tillegg- Inndata Øvrige'!L109, -0.114*IF('Tillegg- Inndata Øvrige'!H109 &gt; 49, _xlfn.XLOOKUP(49, År_etter_ferdigstillelse, karbon_opptak_faktor), _xlfn.XLOOKUP('Tillegg- Inndata Øvrige'!H109, År_etter_ferdigstillelse, karbon_opptak_faktor))*'Tillegg- Inndata Øvrige'!G109*'Tillegg- Inndata Øvrige'!L109*0.5))</f>
        <v>0</v>
      </c>
      <c r="W111" s="333">
        <f>IF('Tillegg- Inndata Øvrige'!G109=0,0,IF('Tillegg- Inndata Øvrige'!H109&gt;49,-0.064*'Tillegg- Inndata Øvrige'!G109*'Tillegg- Inndata Øvrige'!N109,-0.037*'Tillegg- Inndata Øvrige'!J109*'Tillegg- Inndata Øvrige'!N109))</f>
        <v>0</v>
      </c>
      <c r="X111" s="331" cm="1">
        <f t="array" ref="X111">IF(SUM(F111:J111,L111)=0, 0, SUM(F111:J111,L111)*(1+'Tillegg-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Y111" s="330" cm="1">
        <f t="array" ref="Y111">IF(X111=0, 0, SUM(K111,M111)*(1+'Tillegg-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Z111" s="336" cm="1">
        <f t="array" ref="Z111">IF(X111=0, 0, SUM(N111:P111)*(1+'Tillegg-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A111" s="336" cm="1">
        <f t="array" ref="AA111">IF(X111=0, 0, ('Tillegg- Inndata Øvrige'!G109+'Tillegg- Inndata Øvrige'!O109+'Tillegg- Inndata Øvrige'!S109)*(1+'Tillegg- Inndata Øvrige'!K109)*Transport_utslipp_til_avfallshånderting_per_kg*IF('Tillegg-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B111" s="334" cm="1">
        <f t="array" ref="AB111">IF(X111=0, 0,1.833*'Tillegg- Inndata Øvrige'!J109*('Tillegg- Inndata Øvrige'!X109*_xlfn.XLOOKUP(IF('Tillegg- Inndata Øvrige'!I109&lt;2,'Tillegg- Inndata Øvrige'!H109,'Tillegg- Inndata Øvrige'!H109*2), År_etter_ferdigstillelse, Faktorer!$Z$7:$Z$58))*('Tillegg- Inndata Øvrige'!L109*0.5+'Tillegg- Inndata Øvrige'!M109*0.8)*_xlfn.XLOOKUP(IF('Tillegg- Inndata Øvrige'!I109&lt;2,'Tillegg- Inndata Øvrige'!H109,'Tillegg- Inndata Øvrige'!H109*2), År_etter_ferdigstillelse,  IF(LEFT('Tillegg- Inndata Øvrige'!B109, 2)= 49, f_tid_x_f_tek_d_0_037, f_tid_x_f_tek_d_0_01)))</f>
        <v>0</v>
      </c>
      <c r="AC111" s="335">
        <f>IF(('Tillegg- Inndata Øvrige'!G109) = 0, 0,('Tillegg- Inndata Øvrige'!G109*((AG111+AI111)*Transport_utslipp_til_avfallshånderting_per_kg)+('Tillegg- Inndata Øvrige'!Z109*'ZERO-B Beregning'!D211)*IF('ZERO-B Beregning'!F212=0,'ZERO-B Beregning'!D212,'ZERO-B Beregning'!F212))*_xlfn.XLOOKUP(51, År_etter_ferdigstillelse, f_tid_x_f_tek_d_0_01))</f>
        <v>0</v>
      </c>
      <c r="AD111" s="337">
        <f>IF(('Tillegg- Inndata Øvrige'!G109) = 0, 0,1.833*('Tillegg- Inndata Øvrige'!G109*('Tillegg- Inndata Øvrige'!L109*0.5+'Tillegg- Inndata Øvrige'!M109*0.8)*AG111*_xlfn.XLOOKUP(51, År_etter_ferdigstillelse,  f_tid_x_f_tek_d_0_01)))</f>
        <v>0</v>
      </c>
      <c r="AE111" s="333" cm="1">
        <f t="array" ref="AE111">IF(('Tillegg- Inndata Øvrige'!G109) = 0, 0,-0.8*('Tillegg- Inndata Øvrige'!G109)*AH111*('Tillegg- Inndata Øvrige'!E109/'Tillegg- Inndata Øvrige'!G109)*_xlfn.XLOOKUP(51, År_etter_ferdigstillelse,  IF(LEFT('Tillegg- Inndata Øvrige'!B109, 2)= 49, f_tid_x_f_tek_d_0_037, f_tid_x_f_tek_d_0_01)))</f>
        <v>0</v>
      </c>
      <c r="AF111" s="338" cm="1">
        <f t="array" ref="AF111">IF(('Tillegg- Inndata Øvrige'!G109) = 0, 0,-0.1*('Tillegg- Inndata Øvrige'!G109)*AI111*('Tillegg- Inndata Øvrige'!E109/'Tillegg- Inndata Øvrige'!G109)*_xlfn.XLOOKUP(51, År_etter_ferdigstillelse,  IF(LEFT('Tillegg- Inndata Øvrige'!B109, 2)= 49, f_tid_x_f_tek_d_0_037, f_tid_x_f_tek_d_0_01)))</f>
        <v>0</v>
      </c>
      <c r="AG111" s="572">
        <f>IF(('Tillegg- Inndata Øvrige'!G109) = 0, 0,'Tillegg- Inndata Øvrige'!X109*Faktorer!$Z$58)</f>
        <v>0</v>
      </c>
      <c r="AH111" s="573">
        <f>IF(('Tillegg- Inndata Øvrige'!G109) = 0, 0,'Tillegg- Inndata Øvrige'!Z109+('Tillegg- Inndata Øvrige'!X109+'Tillegg- Inndata Øvrige'!Y109)*(1-Faktorer!$Z$58)*0.5)</f>
        <v>0</v>
      </c>
      <c r="AI111" s="574">
        <f>IF(('Tillegg- Inndata Øvrige'!G109) = 0, 0,'Tillegg- Inndata Øvrige'!AA109+('Tillegg- Inndata Øvrige'!X109+'Tillegg- Inndata Øvrige'!Y109)*(1-Faktorer!$Z$58)*0.5)</f>
        <v>0</v>
      </c>
      <c r="AK111" s="90">
        <f t="shared" si="2"/>
        <v>0</v>
      </c>
      <c r="AL111" s="91">
        <f>'Tillegg- Res. Det. Øvrige'!N111</f>
        <v>0</v>
      </c>
      <c r="AM111" s="91" t="str">
        <f>IF(F111=0,"",('Tillegg- Inndata Øvrige'!E111+'Tillegg- Inndata Øvrige'!F111)*ROUNDDOWN('Tillegg- Inndata Øvrige'!I111,0)*(1+'Tillegg- Inndata Øvrige'!K111))</f>
        <v/>
      </c>
      <c r="AO111" s="1"/>
    </row>
    <row r="112" spans="2:41">
      <c r="B112" s="327">
        <f>'Tillegg- Inndata Øvrige'!B110</f>
        <v>0</v>
      </c>
      <c r="C112" s="327">
        <f>'Tillegg- Inndata Øvrige'!C110</f>
        <v>0</v>
      </c>
      <c r="D112" s="327">
        <f>'Tillegg- Inndata Øvrige'!D110</f>
        <v>0</v>
      </c>
      <c r="E112" s="421" cm="1">
        <f t="array" ref="E112">SUM(IFERROR(F112:AF112,0))</f>
        <v>0</v>
      </c>
      <c r="F112" s="330">
        <f>'Tillegg- Inndata Øvrige'!E110</f>
        <v>0</v>
      </c>
      <c r="G112" s="330">
        <f>IF('Tillegg- Inndata Øvrige'!AB110="Ja", -0.8*$F112, 0)</f>
        <v>0</v>
      </c>
      <c r="H112" s="330">
        <f>IF('Tillegg- Inndata Øvrige'!AC110="Ja", -0.4*$F112, 0)</f>
        <v>0</v>
      </c>
      <c r="I112" s="330">
        <f>IF('Tillegg- Inndata Øvrige'!AD110="Ja", -1*$F112, 0)</f>
        <v>0</v>
      </c>
      <c r="J112" s="330">
        <f>'Tillegg- Inndata Øvrige'!O110*'Tillegg- Inndata Øvrige'!P110</f>
        <v>0</v>
      </c>
      <c r="K112" s="330">
        <f>MAX(-0.75*(SUM('Tillegg- Res. Det. Øvrige'!F112:J112)),-'Tillegg- Inndata Øvrige'!O110*'Tillegg- Inndata Øvrige'!Q110)</f>
        <v>0</v>
      </c>
      <c r="L112" s="330">
        <f>'Tillegg- Inndata Øvrige'!S110*'Tillegg- Inndata Øvrige'!T110</f>
        <v>0</v>
      </c>
      <c r="M112" s="330">
        <f>MAX(-0.75*(SUM('Tillegg- Res. Det. Øvrige'!F112:I112,L112)),-'Tillegg- Inndata Øvrige'!S110*'Tillegg- Inndata Øvrige'!U110)</f>
        <v>0</v>
      </c>
      <c r="N112" s="331">
        <f>'Tillegg- Inndata Øvrige'!F110</f>
        <v>0</v>
      </c>
      <c r="O112" s="330">
        <f>'Tillegg- Inndata Øvrige'!O110*'Tillegg- Inndata Øvrige'!R110</f>
        <v>0</v>
      </c>
      <c r="P112" s="332">
        <f>'Tillegg- Inndata Øvrige'!S110*'Tillegg- Inndata Øvrige'!V110</f>
        <v>0</v>
      </c>
      <c r="Q112" s="333">
        <f>SUM(F112:J112,L112)*'Tillegg- Inndata Øvrige'!K110</f>
        <v>0</v>
      </c>
      <c r="R112" s="333">
        <f>(K112+M112)*'Tillegg- Inndata Øvrige'!K110</f>
        <v>0</v>
      </c>
      <c r="S112" s="333">
        <f>SUM(N112:P112)*'Tillegg- Inndata Øvrige'!K110</f>
        <v>0</v>
      </c>
      <c r="T112" s="334">
        <f>('Tillegg- Inndata Øvrige'!G110+'Tillegg- Inndata Øvrige'!O110+'Tillegg- Inndata Øvrige'!S110)*'Tillegg- Inndata Øvrige'!K110*Transport_utslipp_til_avfallshånderting_per_kg</f>
        <v>0</v>
      </c>
      <c r="U112" s="330">
        <f>IF('Tillegg- Inndata Øvrige'!E110 = 0, 0, 1.833*'Tillegg- Inndata Øvrige'!X110*'Tillegg- Inndata Øvrige'!K110*('Tillegg- Inndata Øvrige'!G110*('Tillegg- Inndata Øvrige'!L110*0.5+'Tillegg- Inndata Øvrige'!M110*0.8) + (12/44)*('Tillegg- Inndata Øvrige'!O110*'Tillegg- Inndata Øvrige'!Q110+'Tillegg- Inndata Øvrige'!S110*'Tillegg- Inndata Øvrige'!U110)))</f>
        <v>0</v>
      </c>
      <c r="V112" s="335">
        <f>IF('Tillegg- Inndata Øvrige'!G110 = 0, 0,  MAX(-SUM(F112:J112,L112)*'Tillegg- Inndata Øvrige'!L110, -0.114*IF('Tillegg- Inndata Øvrige'!H110 &gt; 49, _xlfn.XLOOKUP(49, År_etter_ferdigstillelse, karbon_opptak_faktor), _xlfn.XLOOKUP('Tillegg- Inndata Øvrige'!H110, År_etter_ferdigstillelse, karbon_opptak_faktor))*'Tillegg- Inndata Øvrige'!G110*'Tillegg- Inndata Øvrige'!L110*0.5))</f>
        <v>0</v>
      </c>
      <c r="W112" s="333">
        <f>IF('Tillegg- Inndata Øvrige'!G110=0,0,IF('Tillegg- Inndata Øvrige'!H110&gt;49,-0.064*'Tillegg- Inndata Øvrige'!G110*'Tillegg- Inndata Øvrige'!N110,-0.037*'Tillegg- Inndata Øvrige'!J110*'Tillegg- Inndata Øvrige'!N110))</f>
        <v>0</v>
      </c>
      <c r="X112" s="331" cm="1">
        <f t="array" ref="X112">IF(SUM(F112:J112,L112)=0, 0, SUM(F112:J112,L112)*(1+'Tillegg-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Y112" s="330" cm="1">
        <f t="array" ref="Y112">IF(X112=0, 0, SUM(K112,M112)*(1+'Tillegg-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Z112" s="336" cm="1">
        <f t="array" ref="Z112">IF(X112=0, 0, SUM(N112:P112)*(1+'Tillegg-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A112" s="336" cm="1">
        <f t="array" ref="AA112">IF(X112=0, 0, ('Tillegg- Inndata Øvrige'!G110+'Tillegg- Inndata Øvrige'!O110+'Tillegg- Inndata Øvrige'!S110)*(1+'Tillegg- Inndata Øvrige'!K110)*Transport_utslipp_til_avfallshånderting_per_kg*IF('Tillegg-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B112" s="334" cm="1">
        <f t="array" ref="AB112">IF(X112=0, 0,1.833*'Tillegg- Inndata Øvrige'!J110*('Tillegg- Inndata Øvrige'!X110*_xlfn.XLOOKUP(IF('Tillegg- Inndata Øvrige'!I110&lt;2,'Tillegg- Inndata Øvrige'!H110,'Tillegg- Inndata Øvrige'!H110*2), År_etter_ferdigstillelse, Faktorer!$Z$7:$Z$58))*('Tillegg- Inndata Øvrige'!L110*0.5+'Tillegg- Inndata Øvrige'!M110*0.8)*_xlfn.XLOOKUP(IF('Tillegg- Inndata Øvrige'!I110&lt;2,'Tillegg- Inndata Øvrige'!H110,'Tillegg- Inndata Øvrige'!H110*2), År_etter_ferdigstillelse,  IF(LEFT('Tillegg- Inndata Øvrige'!B110, 2)= 49, f_tid_x_f_tek_d_0_037, f_tid_x_f_tek_d_0_01)))</f>
        <v>0</v>
      </c>
      <c r="AC112" s="335">
        <f>IF(('Tillegg- Inndata Øvrige'!G110) = 0, 0,('Tillegg- Inndata Øvrige'!G110*((AG112+AI112)*Transport_utslipp_til_avfallshånderting_per_kg)+('Tillegg- Inndata Øvrige'!Z110*'ZERO-B Beregning'!D212)*IF('ZERO-B Beregning'!F213=0,'ZERO-B Beregning'!D213,'ZERO-B Beregning'!F213))*_xlfn.XLOOKUP(51, År_etter_ferdigstillelse, f_tid_x_f_tek_d_0_01))</f>
        <v>0</v>
      </c>
      <c r="AD112" s="337">
        <f>IF(('Tillegg- Inndata Øvrige'!G110) = 0, 0,1.833*('Tillegg- Inndata Øvrige'!G110*('Tillegg- Inndata Øvrige'!L110*0.5+'Tillegg- Inndata Øvrige'!M110*0.8)*AG112*_xlfn.XLOOKUP(51, År_etter_ferdigstillelse,  f_tid_x_f_tek_d_0_01)))</f>
        <v>0</v>
      </c>
      <c r="AE112" s="333" cm="1">
        <f t="array" ref="AE112">IF(('Tillegg- Inndata Øvrige'!G110) = 0, 0,-0.8*('Tillegg- Inndata Øvrige'!G110)*AH112*('Tillegg- Inndata Øvrige'!E110/'Tillegg- Inndata Øvrige'!G110)*_xlfn.XLOOKUP(51, År_etter_ferdigstillelse,  IF(LEFT('Tillegg- Inndata Øvrige'!B110, 2)= 49, f_tid_x_f_tek_d_0_037, f_tid_x_f_tek_d_0_01)))</f>
        <v>0</v>
      </c>
      <c r="AF112" s="338" cm="1">
        <f t="array" ref="AF112">IF(('Tillegg- Inndata Øvrige'!G110) = 0, 0,-0.1*('Tillegg- Inndata Øvrige'!G110)*AI112*('Tillegg- Inndata Øvrige'!E110/'Tillegg- Inndata Øvrige'!G110)*_xlfn.XLOOKUP(51, År_etter_ferdigstillelse,  IF(LEFT('Tillegg- Inndata Øvrige'!B110, 2)= 49, f_tid_x_f_tek_d_0_037, f_tid_x_f_tek_d_0_01)))</f>
        <v>0</v>
      </c>
      <c r="AG112" s="572">
        <f>IF(('Tillegg- Inndata Øvrige'!G110) = 0, 0,'Tillegg- Inndata Øvrige'!X110*Faktorer!$Z$58)</f>
        <v>0</v>
      </c>
      <c r="AH112" s="573">
        <f>IF(('Tillegg- Inndata Øvrige'!G110) = 0, 0,'Tillegg- Inndata Øvrige'!Z110+('Tillegg- Inndata Øvrige'!X110+'Tillegg- Inndata Øvrige'!Y110)*(1-Faktorer!$Z$58)*0.5)</f>
        <v>0</v>
      </c>
      <c r="AI112" s="574">
        <f>IF(('Tillegg- Inndata Øvrige'!G110) = 0, 0,'Tillegg- Inndata Øvrige'!AA110+('Tillegg- Inndata Øvrige'!X110+'Tillegg- Inndata Øvrige'!Y110)*(1-Faktorer!$Z$58)*0.5)</f>
        <v>0</v>
      </c>
      <c r="AK112" s="90">
        <f t="shared" si="2"/>
        <v>0</v>
      </c>
      <c r="AL112" s="91">
        <f>'Tillegg- Res. Det. Øvrige'!N112</f>
        <v>0</v>
      </c>
      <c r="AM112" s="91" t="str">
        <f>IF(F112=0,"",('Tillegg- Inndata Øvrige'!E112+'Tillegg- Inndata Øvrige'!F112)*ROUNDDOWN('Tillegg- Inndata Øvrige'!I112,0)*(1+'Tillegg- Inndata Øvrige'!K112))</f>
        <v/>
      </c>
      <c r="AO112" s="1"/>
    </row>
    <row r="113" spans="2:41">
      <c r="B113" s="327">
        <f>'Tillegg- Inndata Øvrige'!B111</f>
        <v>0</v>
      </c>
      <c r="C113" s="327">
        <f>'Tillegg- Inndata Øvrige'!C111</f>
        <v>0</v>
      </c>
      <c r="D113" s="327">
        <f>'Tillegg- Inndata Øvrige'!D111</f>
        <v>0</v>
      </c>
      <c r="E113" s="421" cm="1">
        <f t="array" ref="E113">SUM(IFERROR(F113:AF113,0))</f>
        <v>0</v>
      </c>
      <c r="F113" s="330">
        <f>'Tillegg- Inndata Øvrige'!E111</f>
        <v>0</v>
      </c>
      <c r="G113" s="330">
        <f>IF('Tillegg- Inndata Øvrige'!AB111="Ja", -0.8*$F113, 0)</f>
        <v>0</v>
      </c>
      <c r="H113" s="330">
        <f>IF('Tillegg- Inndata Øvrige'!AC111="Ja", -0.4*$F113, 0)</f>
        <v>0</v>
      </c>
      <c r="I113" s="330">
        <f>IF('Tillegg- Inndata Øvrige'!AD111="Ja", -1*$F113, 0)</f>
        <v>0</v>
      </c>
      <c r="J113" s="330">
        <f>'Tillegg- Inndata Øvrige'!O111*'Tillegg- Inndata Øvrige'!P111</f>
        <v>0</v>
      </c>
      <c r="K113" s="330">
        <f>MAX(-0.75*(SUM('Tillegg- Res. Det. Øvrige'!F113:J113)),-'Tillegg- Inndata Øvrige'!O111*'Tillegg- Inndata Øvrige'!Q111)</f>
        <v>0</v>
      </c>
      <c r="L113" s="330">
        <f>'Tillegg- Inndata Øvrige'!S111*'Tillegg- Inndata Øvrige'!T111</f>
        <v>0</v>
      </c>
      <c r="M113" s="330">
        <f>MAX(-0.75*(SUM('Tillegg- Res. Det. Øvrige'!F113:I113,L113)),-'Tillegg- Inndata Øvrige'!S111*'Tillegg- Inndata Øvrige'!U111)</f>
        <v>0</v>
      </c>
      <c r="N113" s="331">
        <f>'Tillegg- Inndata Øvrige'!F111</f>
        <v>0</v>
      </c>
      <c r="O113" s="330">
        <f>'Tillegg- Inndata Øvrige'!O111*'Tillegg- Inndata Øvrige'!R111</f>
        <v>0</v>
      </c>
      <c r="P113" s="332">
        <f>'Tillegg- Inndata Øvrige'!S111*'Tillegg- Inndata Øvrige'!V111</f>
        <v>0</v>
      </c>
      <c r="Q113" s="333">
        <f>SUM(F113:J113,L113)*'Tillegg- Inndata Øvrige'!K111</f>
        <v>0</v>
      </c>
      <c r="R113" s="333">
        <f>(K113+M113)*'Tillegg- Inndata Øvrige'!K111</f>
        <v>0</v>
      </c>
      <c r="S113" s="333">
        <f>SUM(N113:P113)*'Tillegg- Inndata Øvrige'!K111</f>
        <v>0</v>
      </c>
      <c r="T113" s="334">
        <f>('Tillegg- Inndata Øvrige'!G111+'Tillegg- Inndata Øvrige'!O111+'Tillegg- Inndata Øvrige'!S111)*'Tillegg- Inndata Øvrige'!K111*Transport_utslipp_til_avfallshånderting_per_kg</f>
        <v>0</v>
      </c>
      <c r="U113" s="330">
        <f>IF('Tillegg- Inndata Øvrige'!E111 = 0, 0, 1.833*'Tillegg- Inndata Øvrige'!X111*'Tillegg- Inndata Øvrige'!K111*('Tillegg- Inndata Øvrige'!G111*('Tillegg- Inndata Øvrige'!L111*0.5+'Tillegg- Inndata Øvrige'!M111*0.8) + (12/44)*('Tillegg- Inndata Øvrige'!O111*'Tillegg- Inndata Øvrige'!Q111+'Tillegg- Inndata Øvrige'!S111*'Tillegg- Inndata Øvrige'!U111)))</f>
        <v>0</v>
      </c>
      <c r="V113" s="335">
        <f>IF('Tillegg- Inndata Øvrige'!G111 = 0, 0,  MAX(-SUM(F113:J113,L113)*'Tillegg- Inndata Øvrige'!L111, -0.114*IF('Tillegg- Inndata Øvrige'!H111 &gt; 49, _xlfn.XLOOKUP(49, År_etter_ferdigstillelse, karbon_opptak_faktor), _xlfn.XLOOKUP('Tillegg- Inndata Øvrige'!H111, År_etter_ferdigstillelse, karbon_opptak_faktor))*'Tillegg- Inndata Øvrige'!G111*'Tillegg- Inndata Øvrige'!L111*0.5))</f>
        <v>0</v>
      </c>
      <c r="W113" s="333">
        <f>IF('Tillegg- Inndata Øvrige'!G111=0,0,IF('Tillegg- Inndata Øvrige'!H111&gt;49,-0.064*'Tillegg- Inndata Øvrige'!G111*'Tillegg- Inndata Øvrige'!N111,-0.037*'Tillegg- Inndata Øvrige'!J111*'Tillegg- Inndata Øvrige'!N111))</f>
        <v>0</v>
      </c>
      <c r="X113" s="331" cm="1">
        <f t="array" ref="X113">IF(SUM(F113:J113,L113)=0, 0, SUM(F113:J113,L113)*(1+'Tillegg-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Y113" s="330" cm="1">
        <f t="array" ref="Y113">IF(X113=0, 0, SUM(K113,M113)*(1+'Tillegg-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Z113" s="336" cm="1">
        <f t="array" ref="Z113">IF(X113=0, 0, SUM(N113:P113)*(1+'Tillegg-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A113" s="336" cm="1">
        <f t="array" ref="AA113">IF(X113=0, 0, ('Tillegg- Inndata Øvrige'!G111+'Tillegg- Inndata Øvrige'!O111+'Tillegg- Inndata Øvrige'!S111)*(1+'Tillegg- Inndata Øvrige'!K111)*Transport_utslipp_til_avfallshånderting_per_kg*IF('Tillegg-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B113" s="334" cm="1">
        <f t="array" ref="AB113">IF(X113=0, 0,1.833*'Tillegg- Inndata Øvrige'!J111*('Tillegg- Inndata Øvrige'!X111*_xlfn.XLOOKUP(IF('Tillegg- Inndata Øvrige'!I111&lt;2,'Tillegg- Inndata Øvrige'!H111,'Tillegg- Inndata Øvrige'!H111*2), År_etter_ferdigstillelse, Faktorer!$Z$7:$Z$58))*('Tillegg- Inndata Øvrige'!L111*0.5+'Tillegg- Inndata Øvrige'!M111*0.8)*_xlfn.XLOOKUP(IF('Tillegg- Inndata Øvrige'!I111&lt;2,'Tillegg- Inndata Øvrige'!H111,'Tillegg- Inndata Øvrige'!H111*2), År_etter_ferdigstillelse,  IF(LEFT('Tillegg- Inndata Øvrige'!B111, 2)= 49, f_tid_x_f_tek_d_0_037, f_tid_x_f_tek_d_0_01)))</f>
        <v>0</v>
      </c>
      <c r="AC113" s="335">
        <f>IF(('Tillegg- Inndata Øvrige'!G111) = 0, 0,('Tillegg- Inndata Øvrige'!G111*((AG113+AI113)*Transport_utslipp_til_avfallshånderting_per_kg)+('Tillegg- Inndata Øvrige'!Z111*'ZERO-B Beregning'!D213)*IF('ZERO-B Beregning'!F214=0,'ZERO-B Beregning'!D214,'ZERO-B Beregning'!F214))*_xlfn.XLOOKUP(51, År_etter_ferdigstillelse, f_tid_x_f_tek_d_0_01))</f>
        <v>0</v>
      </c>
      <c r="AD113" s="337">
        <f>IF(('Tillegg- Inndata Øvrige'!G111) = 0, 0,1.833*('Tillegg- Inndata Øvrige'!G111*('Tillegg- Inndata Øvrige'!L111*0.5+'Tillegg- Inndata Øvrige'!M111*0.8)*AG113*_xlfn.XLOOKUP(51, År_etter_ferdigstillelse,  f_tid_x_f_tek_d_0_01)))</f>
        <v>0</v>
      </c>
      <c r="AE113" s="333" cm="1">
        <f t="array" ref="AE113">IF(('Tillegg- Inndata Øvrige'!G111) = 0, 0,-0.8*('Tillegg- Inndata Øvrige'!G111)*AH113*('Tillegg- Inndata Øvrige'!E111/'Tillegg- Inndata Øvrige'!G111)*_xlfn.XLOOKUP(51, År_etter_ferdigstillelse,  IF(LEFT('Tillegg- Inndata Øvrige'!B111, 2)= 49, f_tid_x_f_tek_d_0_037, f_tid_x_f_tek_d_0_01)))</f>
        <v>0</v>
      </c>
      <c r="AF113" s="338" cm="1">
        <f t="array" ref="AF113">IF(('Tillegg- Inndata Øvrige'!G111) = 0, 0,-0.1*('Tillegg- Inndata Øvrige'!G111)*AI113*('Tillegg- Inndata Øvrige'!E111/'Tillegg- Inndata Øvrige'!G111)*_xlfn.XLOOKUP(51, År_etter_ferdigstillelse,  IF(LEFT('Tillegg- Inndata Øvrige'!B111, 2)= 49, f_tid_x_f_tek_d_0_037, f_tid_x_f_tek_d_0_01)))</f>
        <v>0</v>
      </c>
      <c r="AG113" s="572">
        <f>IF(('Tillegg- Inndata Øvrige'!G111) = 0, 0,'Tillegg- Inndata Øvrige'!X111*Faktorer!$Z$58)</f>
        <v>0</v>
      </c>
      <c r="AH113" s="573">
        <f>IF(('Tillegg- Inndata Øvrige'!G111) = 0, 0,'Tillegg- Inndata Øvrige'!Z111+('Tillegg- Inndata Øvrige'!X111+'Tillegg- Inndata Øvrige'!Y111)*(1-Faktorer!$Z$58)*0.5)</f>
        <v>0</v>
      </c>
      <c r="AI113" s="574">
        <f>IF(('Tillegg- Inndata Øvrige'!G111) = 0, 0,'Tillegg- Inndata Øvrige'!AA111+('Tillegg- Inndata Øvrige'!X111+'Tillegg- Inndata Øvrige'!Y111)*(1-Faktorer!$Z$58)*0.5)</f>
        <v>0</v>
      </c>
      <c r="AK113" s="90">
        <f t="shared" si="2"/>
        <v>0</v>
      </c>
      <c r="AL113" s="91">
        <f>'Tillegg- Res. Det. Øvrige'!N113</f>
        <v>0</v>
      </c>
      <c r="AM113" s="91" t="str">
        <f>IF(F113=0,"",('Tillegg- Inndata Øvrige'!E113+'Tillegg- Inndata Øvrige'!F113)*ROUNDDOWN('Tillegg- Inndata Øvrige'!I113,0)*(1+'Tillegg- Inndata Øvrige'!K113))</f>
        <v/>
      </c>
      <c r="AO113" s="1"/>
    </row>
    <row r="114" spans="2:41">
      <c r="B114" s="327">
        <f>'Tillegg- Inndata Øvrige'!B112</f>
        <v>0</v>
      </c>
      <c r="C114" s="327">
        <f>'Tillegg- Inndata Øvrige'!C112</f>
        <v>0</v>
      </c>
      <c r="D114" s="327">
        <f>'Tillegg- Inndata Øvrige'!D112</f>
        <v>0</v>
      </c>
      <c r="E114" s="421" cm="1">
        <f t="array" ref="E114">SUM(IFERROR(F114:AF114,0))</f>
        <v>0</v>
      </c>
      <c r="F114" s="330">
        <f>'Tillegg- Inndata Øvrige'!E112</f>
        <v>0</v>
      </c>
      <c r="G114" s="330">
        <f>IF('Tillegg- Inndata Øvrige'!AB112="Ja", -0.8*$F114, 0)</f>
        <v>0</v>
      </c>
      <c r="H114" s="330">
        <f>IF('Tillegg- Inndata Øvrige'!AC112="Ja", -0.4*$F114, 0)</f>
        <v>0</v>
      </c>
      <c r="I114" s="330">
        <f>IF('Tillegg- Inndata Øvrige'!AD112="Ja", -1*$F114, 0)</f>
        <v>0</v>
      </c>
      <c r="J114" s="330">
        <f>'Tillegg- Inndata Øvrige'!O112*'Tillegg- Inndata Øvrige'!P112</f>
        <v>0</v>
      </c>
      <c r="K114" s="330">
        <f>MAX(-0.75*(SUM('Tillegg- Res. Det. Øvrige'!F114:J114)),-'Tillegg- Inndata Øvrige'!O112*'Tillegg- Inndata Øvrige'!Q112)</f>
        <v>0</v>
      </c>
      <c r="L114" s="330">
        <f>'Tillegg- Inndata Øvrige'!S112*'Tillegg- Inndata Øvrige'!T112</f>
        <v>0</v>
      </c>
      <c r="M114" s="330">
        <f>MAX(-0.75*(SUM('Tillegg- Res. Det. Øvrige'!F114:I114,L114)),-'Tillegg- Inndata Øvrige'!S112*'Tillegg- Inndata Øvrige'!U112)</f>
        <v>0</v>
      </c>
      <c r="N114" s="331">
        <f>'Tillegg- Inndata Øvrige'!F112</f>
        <v>0</v>
      </c>
      <c r="O114" s="330">
        <f>'Tillegg- Inndata Øvrige'!O112*'Tillegg- Inndata Øvrige'!R112</f>
        <v>0</v>
      </c>
      <c r="P114" s="332">
        <f>'Tillegg- Inndata Øvrige'!S112*'Tillegg- Inndata Øvrige'!V112</f>
        <v>0</v>
      </c>
      <c r="Q114" s="333">
        <f>SUM(F114:J114,L114)*'Tillegg- Inndata Øvrige'!K112</f>
        <v>0</v>
      </c>
      <c r="R114" s="333">
        <f>(K114+M114)*'Tillegg- Inndata Øvrige'!K112</f>
        <v>0</v>
      </c>
      <c r="S114" s="333">
        <f>SUM(N114:P114)*'Tillegg- Inndata Øvrige'!K112</f>
        <v>0</v>
      </c>
      <c r="T114" s="334">
        <f>('Tillegg- Inndata Øvrige'!G112+'Tillegg- Inndata Øvrige'!O112+'Tillegg- Inndata Øvrige'!S112)*'Tillegg- Inndata Øvrige'!K112*Transport_utslipp_til_avfallshånderting_per_kg</f>
        <v>0</v>
      </c>
      <c r="U114" s="330">
        <f>IF('Tillegg- Inndata Øvrige'!E112 = 0, 0, 1.833*'Tillegg- Inndata Øvrige'!X112*'Tillegg- Inndata Øvrige'!K112*('Tillegg- Inndata Øvrige'!G112*('Tillegg- Inndata Øvrige'!L112*0.5+'Tillegg- Inndata Øvrige'!M112*0.8) + (12/44)*('Tillegg- Inndata Øvrige'!O112*'Tillegg- Inndata Øvrige'!Q112+'Tillegg- Inndata Øvrige'!S112*'Tillegg- Inndata Øvrige'!U112)))</f>
        <v>0</v>
      </c>
      <c r="V114" s="335">
        <f>IF('Tillegg- Inndata Øvrige'!G112 = 0, 0,  MAX(-SUM(F114:J114,L114)*'Tillegg- Inndata Øvrige'!L112, -0.114*IF('Tillegg- Inndata Øvrige'!H112 &gt; 49, _xlfn.XLOOKUP(49, År_etter_ferdigstillelse, karbon_opptak_faktor), _xlfn.XLOOKUP('Tillegg- Inndata Øvrige'!H112, År_etter_ferdigstillelse, karbon_opptak_faktor))*'Tillegg- Inndata Øvrige'!G112*'Tillegg- Inndata Øvrige'!L112*0.5))</f>
        <v>0</v>
      </c>
      <c r="W114" s="333">
        <f>IF('Tillegg- Inndata Øvrige'!G112=0,0,IF('Tillegg- Inndata Øvrige'!H112&gt;49,-0.064*'Tillegg- Inndata Øvrige'!G112*'Tillegg- Inndata Øvrige'!N112,-0.037*'Tillegg- Inndata Øvrige'!J112*'Tillegg- Inndata Øvrige'!N112))</f>
        <v>0</v>
      </c>
      <c r="X114" s="331" cm="1">
        <f t="array" ref="X114">IF(SUM(F114:J114,L114)=0, 0, SUM(F114:J114,L114)*(1+'Tillegg-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Y114" s="330" cm="1">
        <f t="array" ref="Y114">IF(X114=0, 0, SUM(K114,M114)*(1+'Tillegg-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Z114" s="336" cm="1">
        <f t="array" ref="Z114">IF(X114=0, 0, SUM(N114:P114)*(1+'Tillegg-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A114" s="336" cm="1">
        <f t="array" ref="AA114">IF(X114=0, 0, ('Tillegg- Inndata Øvrige'!G112+'Tillegg- Inndata Øvrige'!O112+'Tillegg- Inndata Øvrige'!S112)*(1+'Tillegg- Inndata Øvrige'!K112)*Transport_utslipp_til_avfallshånderting_per_kg*IF('Tillegg-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B114" s="334" cm="1">
        <f t="array" ref="AB114">IF(X114=0, 0,1.833*'Tillegg- Inndata Øvrige'!J112*('Tillegg- Inndata Øvrige'!X112*_xlfn.XLOOKUP(IF('Tillegg- Inndata Øvrige'!I112&lt;2,'Tillegg- Inndata Øvrige'!H112,'Tillegg- Inndata Øvrige'!H112*2), År_etter_ferdigstillelse, Faktorer!$Z$7:$Z$58))*('Tillegg- Inndata Øvrige'!L112*0.5+'Tillegg- Inndata Øvrige'!M112*0.8)*_xlfn.XLOOKUP(IF('Tillegg- Inndata Øvrige'!I112&lt;2,'Tillegg- Inndata Øvrige'!H112,'Tillegg- Inndata Øvrige'!H112*2), År_etter_ferdigstillelse,  IF(LEFT('Tillegg- Inndata Øvrige'!B112, 2)= 49, f_tid_x_f_tek_d_0_037, f_tid_x_f_tek_d_0_01)))</f>
        <v>0</v>
      </c>
      <c r="AC114" s="335">
        <f>IF(('Tillegg- Inndata Øvrige'!G112) = 0, 0,('Tillegg- Inndata Øvrige'!G112*((AG114+AI114)*Transport_utslipp_til_avfallshånderting_per_kg)+('Tillegg- Inndata Øvrige'!Z112*'ZERO-B Beregning'!D214)*IF('ZERO-B Beregning'!F215=0,'ZERO-B Beregning'!D215,'ZERO-B Beregning'!F215))*_xlfn.XLOOKUP(51, År_etter_ferdigstillelse, f_tid_x_f_tek_d_0_01))</f>
        <v>0</v>
      </c>
      <c r="AD114" s="337">
        <f>IF(('Tillegg- Inndata Øvrige'!G112) = 0, 0,1.833*('Tillegg- Inndata Øvrige'!G112*('Tillegg- Inndata Øvrige'!L112*0.5+'Tillegg- Inndata Øvrige'!M112*0.8)*AG114*_xlfn.XLOOKUP(51, År_etter_ferdigstillelse,  f_tid_x_f_tek_d_0_01)))</f>
        <v>0</v>
      </c>
      <c r="AE114" s="333" cm="1">
        <f t="array" ref="AE114">IF(('Tillegg- Inndata Øvrige'!G112) = 0, 0,-0.8*('Tillegg- Inndata Øvrige'!G112)*AH114*('Tillegg- Inndata Øvrige'!E112/'Tillegg- Inndata Øvrige'!G112)*_xlfn.XLOOKUP(51, År_etter_ferdigstillelse,  IF(LEFT('Tillegg- Inndata Øvrige'!B112, 2)= 49, f_tid_x_f_tek_d_0_037, f_tid_x_f_tek_d_0_01)))</f>
        <v>0</v>
      </c>
      <c r="AF114" s="338" cm="1">
        <f t="array" ref="AF114">IF(('Tillegg- Inndata Øvrige'!G112) = 0, 0,-0.1*('Tillegg- Inndata Øvrige'!G112)*AI114*('Tillegg- Inndata Øvrige'!E112/'Tillegg- Inndata Øvrige'!G112)*_xlfn.XLOOKUP(51, År_etter_ferdigstillelse,  IF(LEFT('Tillegg- Inndata Øvrige'!B112, 2)= 49, f_tid_x_f_tek_d_0_037, f_tid_x_f_tek_d_0_01)))</f>
        <v>0</v>
      </c>
      <c r="AG114" s="572">
        <f>IF(('Tillegg- Inndata Øvrige'!G112) = 0, 0,'Tillegg- Inndata Øvrige'!X112*Faktorer!$Z$58)</f>
        <v>0</v>
      </c>
      <c r="AH114" s="573">
        <f>IF(('Tillegg- Inndata Øvrige'!G112) = 0, 0,'Tillegg- Inndata Øvrige'!Z112+('Tillegg- Inndata Øvrige'!X112+'Tillegg- Inndata Øvrige'!Y112)*(1-Faktorer!$Z$58)*0.5)</f>
        <v>0</v>
      </c>
      <c r="AI114" s="574">
        <f>IF(('Tillegg- Inndata Øvrige'!G112) = 0, 0,'Tillegg- Inndata Øvrige'!AA112+('Tillegg- Inndata Øvrige'!X112+'Tillegg- Inndata Øvrige'!Y112)*(1-Faktorer!$Z$58)*0.5)</f>
        <v>0</v>
      </c>
      <c r="AK114" s="90">
        <f t="shared" si="2"/>
        <v>0</v>
      </c>
      <c r="AL114" s="91">
        <f>'Tillegg- Res. Det. Øvrige'!N114</f>
        <v>0</v>
      </c>
      <c r="AM114" s="91" t="str">
        <f>IF(F114=0,"",('Tillegg- Inndata Øvrige'!E114+'Tillegg- Inndata Øvrige'!F114)*ROUNDDOWN('Tillegg- Inndata Øvrige'!I114,0)*(1+'Tillegg- Inndata Øvrige'!K114))</f>
        <v/>
      </c>
      <c r="AO114" s="1"/>
    </row>
    <row r="115" spans="2:41">
      <c r="B115" s="327">
        <f>'Tillegg- Inndata Øvrige'!B113</f>
        <v>0</v>
      </c>
      <c r="C115" s="327">
        <f>'Tillegg- Inndata Øvrige'!C113</f>
        <v>0</v>
      </c>
      <c r="D115" s="327">
        <f>'Tillegg- Inndata Øvrige'!D113</f>
        <v>0</v>
      </c>
      <c r="E115" s="421" cm="1">
        <f t="array" ref="E115">SUM(IFERROR(F115:AF115,0))</f>
        <v>0</v>
      </c>
      <c r="F115" s="330">
        <f>'Tillegg- Inndata Øvrige'!E113</f>
        <v>0</v>
      </c>
      <c r="G115" s="330">
        <f>IF('Tillegg- Inndata Øvrige'!AB113="Ja", -0.8*$F115, 0)</f>
        <v>0</v>
      </c>
      <c r="H115" s="330">
        <f>IF('Tillegg- Inndata Øvrige'!AC113="Ja", -0.4*$F115, 0)</f>
        <v>0</v>
      </c>
      <c r="I115" s="330">
        <f>IF('Tillegg- Inndata Øvrige'!AD113="Ja", -1*$F115, 0)</f>
        <v>0</v>
      </c>
      <c r="J115" s="330">
        <f>'Tillegg- Inndata Øvrige'!O113*'Tillegg- Inndata Øvrige'!P113</f>
        <v>0</v>
      </c>
      <c r="K115" s="330">
        <f>MAX(-0.75*(SUM('Tillegg- Res. Det. Øvrige'!F115:J115)),-'Tillegg- Inndata Øvrige'!O113*'Tillegg- Inndata Øvrige'!Q113)</f>
        <v>0</v>
      </c>
      <c r="L115" s="330">
        <f>'Tillegg- Inndata Øvrige'!S113*'Tillegg- Inndata Øvrige'!T113</f>
        <v>0</v>
      </c>
      <c r="M115" s="330">
        <f>MAX(-0.75*(SUM('Tillegg- Res. Det. Øvrige'!F115:I115,L115)),-'Tillegg- Inndata Øvrige'!S113*'Tillegg- Inndata Øvrige'!U113)</f>
        <v>0</v>
      </c>
      <c r="N115" s="331">
        <f>'Tillegg- Inndata Øvrige'!F113</f>
        <v>0</v>
      </c>
      <c r="O115" s="330">
        <f>'Tillegg- Inndata Øvrige'!O113*'Tillegg- Inndata Øvrige'!R113</f>
        <v>0</v>
      </c>
      <c r="P115" s="332">
        <f>'Tillegg- Inndata Øvrige'!S113*'Tillegg- Inndata Øvrige'!V113</f>
        <v>0</v>
      </c>
      <c r="Q115" s="333">
        <f>SUM(F115:J115,L115)*'Tillegg- Inndata Øvrige'!K113</f>
        <v>0</v>
      </c>
      <c r="R115" s="333">
        <f>(K115+M115)*'Tillegg- Inndata Øvrige'!K113</f>
        <v>0</v>
      </c>
      <c r="S115" s="333">
        <f>SUM(N115:P115)*'Tillegg- Inndata Øvrige'!K113</f>
        <v>0</v>
      </c>
      <c r="T115" s="334">
        <f>('Tillegg- Inndata Øvrige'!G113+'Tillegg- Inndata Øvrige'!O113+'Tillegg- Inndata Øvrige'!S113)*'Tillegg- Inndata Øvrige'!K113*Transport_utslipp_til_avfallshånderting_per_kg</f>
        <v>0</v>
      </c>
      <c r="U115" s="330">
        <f>IF('Tillegg- Inndata Øvrige'!E113 = 0, 0, 1.833*'Tillegg- Inndata Øvrige'!X113*'Tillegg- Inndata Øvrige'!K113*('Tillegg- Inndata Øvrige'!G113*('Tillegg- Inndata Øvrige'!L113*0.5+'Tillegg- Inndata Øvrige'!M113*0.8) + (12/44)*('Tillegg- Inndata Øvrige'!O113*'Tillegg- Inndata Øvrige'!Q113+'Tillegg- Inndata Øvrige'!S113*'Tillegg- Inndata Øvrige'!U113)))</f>
        <v>0</v>
      </c>
      <c r="V115" s="335">
        <f>IF('Tillegg- Inndata Øvrige'!G113 = 0, 0,  MAX(-SUM(F115:J115,L115)*'Tillegg- Inndata Øvrige'!L113, -0.114*IF('Tillegg- Inndata Øvrige'!H113 &gt; 49, _xlfn.XLOOKUP(49, År_etter_ferdigstillelse, karbon_opptak_faktor), _xlfn.XLOOKUP('Tillegg- Inndata Øvrige'!H113, År_etter_ferdigstillelse, karbon_opptak_faktor))*'Tillegg- Inndata Øvrige'!G113*'Tillegg- Inndata Øvrige'!L113*0.5))</f>
        <v>0</v>
      </c>
      <c r="W115" s="333">
        <f>IF('Tillegg- Inndata Øvrige'!G113=0,0,IF('Tillegg- Inndata Øvrige'!H113&gt;49,-0.064*'Tillegg- Inndata Øvrige'!G113*'Tillegg- Inndata Øvrige'!N113,-0.037*'Tillegg- Inndata Øvrige'!J113*'Tillegg- Inndata Øvrige'!N113))</f>
        <v>0</v>
      </c>
      <c r="X115" s="331" cm="1">
        <f t="array" ref="X115">IF(SUM(F115:J115,L115)=0, 0, SUM(F115:J115,L115)*(1+'Tillegg-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Y115" s="330" cm="1">
        <f t="array" ref="Y115">IF(X115=0, 0, SUM(K115,M115)*(1+'Tillegg-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Z115" s="336" cm="1">
        <f t="array" ref="Z115">IF(X115=0, 0, SUM(N115:P115)*(1+'Tillegg-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A115" s="336" cm="1">
        <f t="array" ref="AA115">IF(X115=0, 0, ('Tillegg- Inndata Øvrige'!G113+'Tillegg- Inndata Øvrige'!O113+'Tillegg- Inndata Øvrige'!S113)*(1+'Tillegg- Inndata Øvrige'!K113)*Transport_utslipp_til_avfallshånderting_per_kg*IF('Tillegg-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B115" s="334" cm="1">
        <f t="array" ref="AB115">IF(X115=0, 0,1.833*'Tillegg- Inndata Øvrige'!J113*('Tillegg- Inndata Øvrige'!X113*_xlfn.XLOOKUP(IF('Tillegg- Inndata Øvrige'!I113&lt;2,'Tillegg- Inndata Øvrige'!H113,'Tillegg- Inndata Øvrige'!H113*2), År_etter_ferdigstillelse, Faktorer!$Z$7:$Z$58))*('Tillegg- Inndata Øvrige'!L113*0.5+'Tillegg- Inndata Øvrige'!M113*0.8)*_xlfn.XLOOKUP(IF('Tillegg- Inndata Øvrige'!I113&lt;2,'Tillegg- Inndata Øvrige'!H113,'Tillegg- Inndata Øvrige'!H113*2), År_etter_ferdigstillelse,  IF(LEFT('Tillegg- Inndata Øvrige'!B113, 2)= 49, f_tid_x_f_tek_d_0_037, f_tid_x_f_tek_d_0_01)))</f>
        <v>0</v>
      </c>
      <c r="AC115" s="335">
        <f>IF(('Tillegg- Inndata Øvrige'!G113) = 0, 0,('Tillegg- Inndata Øvrige'!G113*((AG115+AI115)*Transport_utslipp_til_avfallshånderting_per_kg)+('Tillegg- Inndata Øvrige'!Z113*'ZERO-B Beregning'!D215)*IF('ZERO-B Beregning'!F216=0,'ZERO-B Beregning'!D216,'ZERO-B Beregning'!F216))*_xlfn.XLOOKUP(51, År_etter_ferdigstillelse, f_tid_x_f_tek_d_0_01))</f>
        <v>0</v>
      </c>
      <c r="AD115" s="337">
        <f>IF(('Tillegg- Inndata Øvrige'!G113) = 0, 0,1.833*('Tillegg- Inndata Øvrige'!G113*('Tillegg- Inndata Øvrige'!L113*0.5+'Tillegg- Inndata Øvrige'!M113*0.8)*AG115*_xlfn.XLOOKUP(51, År_etter_ferdigstillelse,  f_tid_x_f_tek_d_0_01)))</f>
        <v>0</v>
      </c>
      <c r="AE115" s="333" cm="1">
        <f t="array" ref="AE115">IF(('Tillegg- Inndata Øvrige'!G113) = 0, 0,-0.8*('Tillegg- Inndata Øvrige'!G113)*AH115*('Tillegg- Inndata Øvrige'!E113/'Tillegg- Inndata Øvrige'!G113)*_xlfn.XLOOKUP(51, År_etter_ferdigstillelse,  IF(LEFT('Tillegg- Inndata Øvrige'!B113, 2)= 49, f_tid_x_f_tek_d_0_037, f_tid_x_f_tek_d_0_01)))</f>
        <v>0</v>
      </c>
      <c r="AF115" s="338" cm="1">
        <f t="array" ref="AF115">IF(('Tillegg- Inndata Øvrige'!G113) = 0, 0,-0.1*('Tillegg- Inndata Øvrige'!G113)*AI115*('Tillegg- Inndata Øvrige'!E113/'Tillegg- Inndata Øvrige'!G113)*_xlfn.XLOOKUP(51, År_etter_ferdigstillelse,  IF(LEFT('Tillegg- Inndata Øvrige'!B113, 2)= 49, f_tid_x_f_tek_d_0_037, f_tid_x_f_tek_d_0_01)))</f>
        <v>0</v>
      </c>
      <c r="AG115" s="572">
        <f>IF(('Tillegg- Inndata Øvrige'!G113) = 0, 0,'Tillegg- Inndata Øvrige'!X113*Faktorer!$Z$58)</f>
        <v>0</v>
      </c>
      <c r="AH115" s="573">
        <f>IF(('Tillegg- Inndata Øvrige'!G113) = 0, 0,'Tillegg- Inndata Øvrige'!Z113+('Tillegg- Inndata Øvrige'!X113+'Tillegg- Inndata Øvrige'!Y113)*(1-Faktorer!$Z$58)*0.5)</f>
        <v>0</v>
      </c>
      <c r="AI115" s="574">
        <f>IF(('Tillegg- Inndata Øvrige'!G113) = 0, 0,'Tillegg- Inndata Øvrige'!AA113+('Tillegg- Inndata Øvrige'!X113+'Tillegg- Inndata Øvrige'!Y113)*(1-Faktorer!$Z$58)*0.5)</f>
        <v>0</v>
      </c>
      <c r="AK115" s="90">
        <f t="shared" si="2"/>
        <v>0</v>
      </c>
      <c r="AL115" s="91">
        <f>'Tillegg- Res. Det. Øvrige'!N115</f>
        <v>0</v>
      </c>
      <c r="AM115" s="91" t="str">
        <f>IF(F115=0,"",('Tillegg- Inndata Øvrige'!E115+'Tillegg- Inndata Øvrige'!F115)*ROUNDDOWN('Tillegg- Inndata Øvrige'!I115,0)*(1+'Tillegg- Inndata Øvrige'!K115))</f>
        <v/>
      </c>
      <c r="AO115" s="1"/>
    </row>
    <row r="116" spans="2:41">
      <c r="B116" s="327">
        <f>'Tillegg- Inndata Øvrige'!B114</f>
        <v>0</v>
      </c>
      <c r="C116" s="327">
        <f>'Tillegg- Inndata Øvrige'!C114</f>
        <v>0</v>
      </c>
      <c r="D116" s="327">
        <f>'Tillegg- Inndata Øvrige'!D114</f>
        <v>0</v>
      </c>
      <c r="E116" s="421" cm="1">
        <f t="array" ref="E116">SUM(IFERROR(F116:AF116,0))</f>
        <v>0</v>
      </c>
      <c r="F116" s="330">
        <f>'Tillegg- Inndata Øvrige'!E114</f>
        <v>0</v>
      </c>
      <c r="G116" s="330">
        <f>IF('Tillegg- Inndata Øvrige'!AB114="Ja", -0.8*$F116, 0)</f>
        <v>0</v>
      </c>
      <c r="H116" s="330">
        <f>IF('Tillegg- Inndata Øvrige'!AC114="Ja", -0.4*$F116, 0)</f>
        <v>0</v>
      </c>
      <c r="I116" s="330">
        <f>IF('Tillegg- Inndata Øvrige'!AD114="Ja", -1*$F116, 0)</f>
        <v>0</v>
      </c>
      <c r="J116" s="330">
        <f>'Tillegg- Inndata Øvrige'!O114*'Tillegg- Inndata Øvrige'!P114</f>
        <v>0</v>
      </c>
      <c r="K116" s="330">
        <f>MAX(-0.75*(SUM('Tillegg- Res. Det. Øvrige'!F116:J116)),-'Tillegg- Inndata Øvrige'!O114*'Tillegg- Inndata Øvrige'!Q114)</f>
        <v>0</v>
      </c>
      <c r="L116" s="330">
        <f>'Tillegg- Inndata Øvrige'!S114*'Tillegg- Inndata Øvrige'!T114</f>
        <v>0</v>
      </c>
      <c r="M116" s="330">
        <f>MAX(-0.75*(SUM('Tillegg- Res. Det. Øvrige'!F116:I116,L116)),-'Tillegg- Inndata Øvrige'!S114*'Tillegg- Inndata Øvrige'!U114)</f>
        <v>0</v>
      </c>
      <c r="N116" s="331">
        <f>'Tillegg- Inndata Øvrige'!F114</f>
        <v>0</v>
      </c>
      <c r="O116" s="330">
        <f>'Tillegg- Inndata Øvrige'!O114*'Tillegg- Inndata Øvrige'!R114</f>
        <v>0</v>
      </c>
      <c r="P116" s="332">
        <f>'Tillegg- Inndata Øvrige'!S114*'Tillegg- Inndata Øvrige'!V114</f>
        <v>0</v>
      </c>
      <c r="Q116" s="333">
        <f>SUM(F116:J116,L116)*'Tillegg- Inndata Øvrige'!K114</f>
        <v>0</v>
      </c>
      <c r="R116" s="333">
        <f>(K116+M116)*'Tillegg- Inndata Øvrige'!K114</f>
        <v>0</v>
      </c>
      <c r="S116" s="333">
        <f>SUM(N116:P116)*'Tillegg- Inndata Øvrige'!K114</f>
        <v>0</v>
      </c>
      <c r="T116" s="334">
        <f>('Tillegg- Inndata Øvrige'!G114+'Tillegg- Inndata Øvrige'!O114+'Tillegg- Inndata Øvrige'!S114)*'Tillegg- Inndata Øvrige'!K114*Transport_utslipp_til_avfallshånderting_per_kg</f>
        <v>0</v>
      </c>
      <c r="U116" s="330">
        <f>IF('Tillegg- Inndata Øvrige'!E114 = 0, 0, 1.833*'Tillegg- Inndata Øvrige'!X114*'Tillegg- Inndata Øvrige'!K114*('Tillegg- Inndata Øvrige'!G114*('Tillegg- Inndata Øvrige'!L114*0.5+'Tillegg- Inndata Øvrige'!M114*0.8) + (12/44)*('Tillegg- Inndata Øvrige'!O114*'Tillegg- Inndata Øvrige'!Q114+'Tillegg- Inndata Øvrige'!S114*'Tillegg- Inndata Øvrige'!U114)))</f>
        <v>0</v>
      </c>
      <c r="V116" s="335">
        <f>IF('Tillegg- Inndata Øvrige'!G114 = 0, 0,  MAX(-SUM(F116:J116,L116)*'Tillegg- Inndata Øvrige'!L114, -0.114*IF('Tillegg- Inndata Øvrige'!H114 &gt; 49, _xlfn.XLOOKUP(49, År_etter_ferdigstillelse, karbon_opptak_faktor), _xlfn.XLOOKUP('Tillegg- Inndata Øvrige'!H114, År_etter_ferdigstillelse, karbon_opptak_faktor))*'Tillegg- Inndata Øvrige'!G114*'Tillegg- Inndata Øvrige'!L114*0.5))</f>
        <v>0</v>
      </c>
      <c r="W116" s="333">
        <f>IF('Tillegg- Inndata Øvrige'!G114=0,0,IF('Tillegg- Inndata Øvrige'!H114&gt;49,-0.064*'Tillegg- Inndata Øvrige'!G114*'Tillegg- Inndata Øvrige'!N114,-0.037*'Tillegg- Inndata Øvrige'!J114*'Tillegg- Inndata Øvrige'!N114))</f>
        <v>0</v>
      </c>
      <c r="X116" s="331" cm="1">
        <f t="array" ref="X116">IF(SUM(F116:J116,L116)=0, 0, SUM(F116:J116,L116)*(1+'Tillegg-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Y116" s="330" cm="1">
        <f t="array" ref="Y116">IF(X116=0, 0, SUM(K116,M116)*(1+'Tillegg-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Z116" s="336" cm="1">
        <f t="array" ref="Z116">IF(X116=0, 0, SUM(N116:P116)*(1+'Tillegg-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A116" s="336" cm="1">
        <f t="array" ref="AA116">IF(X116=0, 0, ('Tillegg- Inndata Øvrige'!G114+'Tillegg- Inndata Øvrige'!O114+'Tillegg- Inndata Øvrige'!S114)*(1+'Tillegg- Inndata Øvrige'!K114)*Transport_utslipp_til_avfallshånderting_per_kg*IF('Tillegg-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B116" s="334" cm="1">
        <f t="array" ref="AB116">IF(X116=0, 0,1.833*'Tillegg- Inndata Øvrige'!J114*('Tillegg- Inndata Øvrige'!X114*_xlfn.XLOOKUP(IF('Tillegg- Inndata Øvrige'!I114&lt;2,'Tillegg- Inndata Øvrige'!H114,'Tillegg- Inndata Øvrige'!H114*2), År_etter_ferdigstillelse, Faktorer!$Z$7:$Z$58))*('Tillegg- Inndata Øvrige'!L114*0.5+'Tillegg- Inndata Øvrige'!M114*0.8)*_xlfn.XLOOKUP(IF('Tillegg- Inndata Øvrige'!I114&lt;2,'Tillegg- Inndata Øvrige'!H114,'Tillegg- Inndata Øvrige'!H114*2), År_etter_ferdigstillelse,  IF(LEFT('Tillegg- Inndata Øvrige'!B114, 2)= 49, f_tid_x_f_tek_d_0_037, f_tid_x_f_tek_d_0_01)))</f>
        <v>0</v>
      </c>
      <c r="AC116" s="335">
        <f>IF(('Tillegg- Inndata Øvrige'!G114) = 0, 0,('Tillegg- Inndata Øvrige'!G114*((AG116+AI116)*Transport_utslipp_til_avfallshånderting_per_kg)+('Tillegg- Inndata Øvrige'!Z114*'ZERO-B Beregning'!D216)*IF('ZERO-B Beregning'!F217=0,'ZERO-B Beregning'!D217,'ZERO-B Beregning'!F217))*_xlfn.XLOOKUP(51, År_etter_ferdigstillelse, f_tid_x_f_tek_d_0_01))</f>
        <v>0</v>
      </c>
      <c r="AD116" s="337">
        <f>IF(('Tillegg- Inndata Øvrige'!G114) = 0, 0,1.833*('Tillegg- Inndata Øvrige'!G114*('Tillegg- Inndata Øvrige'!L114*0.5+'Tillegg- Inndata Øvrige'!M114*0.8)*AG116*_xlfn.XLOOKUP(51, År_etter_ferdigstillelse,  f_tid_x_f_tek_d_0_01)))</f>
        <v>0</v>
      </c>
      <c r="AE116" s="333" cm="1">
        <f t="array" ref="AE116">IF(('Tillegg- Inndata Øvrige'!G114) = 0, 0,-0.8*('Tillegg- Inndata Øvrige'!G114)*AH116*('Tillegg- Inndata Øvrige'!E114/'Tillegg- Inndata Øvrige'!G114)*_xlfn.XLOOKUP(51, År_etter_ferdigstillelse,  IF(LEFT('Tillegg- Inndata Øvrige'!B114, 2)= 49, f_tid_x_f_tek_d_0_037, f_tid_x_f_tek_d_0_01)))</f>
        <v>0</v>
      </c>
      <c r="AF116" s="338" cm="1">
        <f t="array" ref="AF116">IF(('Tillegg- Inndata Øvrige'!G114) = 0, 0,-0.1*('Tillegg- Inndata Øvrige'!G114)*AI116*('Tillegg- Inndata Øvrige'!E114/'Tillegg- Inndata Øvrige'!G114)*_xlfn.XLOOKUP(51, År_etter_ferdigstillelse,  IF(LEFT('Tillegg- Inndata Øvrige'!B114, 2)= 49, f_tid_x_f_tek_d_0_037, f_tid_x_f_tek_d_0_01)))</f>
        <v>0</v>
      </c>
      <c r="AG116" s="572">
        <f>IF(('Tillegg- Inndata Øvrige'!G114) = 0, 0,'Tillegg- Inndata Øvrige'!X114*Faktorer!$Z$58)</f>
        <v>0</v>
      </c>
      <c r="AH116" s="573">
        <f>IF(('Tillegg- Inndata Øvrige'!G114) = 0, 0,'Tillegg- Inndata Øvrige'!Z114+('Tillegg- Inndata Øvrige'!X114+'Tillegg- Inndata Øvrige'!Y114)*(1-Faktorer!$Z$58)*0.5)</f>
        <v>0</v>
      </c>
      <c r="AI116" s="574">
        <f>IF(('Tillegg- Inndata Øvrige'!G114) = 0, 0,'Tillegg- Inndata Øvrige'!AA114+('Tillegg- Inndata Øvrige'!X114+'Tillegg- Inndata Øvrige'!Y114)*(1-Faktorer!$Z$58)*0.5)</f>
        <v>0</v>
      </c>
      <c r="AK116" s="90">
        <f t="shared" si="2"/>
        <v>0</v>
      </c>
      <c r="AL116" s="91">
        <f>'Tillegg- Res. Det. Øvrige'!N116</f>
        <v>0</v>
      </c>
      <c r="AM116" s="91" t="str">
        <f>IF(F116=0,"",('Tillegg- Inndata Øvrige'!E116+'Tillegg- Inndata Øvrige'!F116)*ROUNDDOWN('Tillegg- Inndata Øvrige'!I116,0)*(1+'Tillegg- Inndata Øvrige'!K116))</f>
        <v/>
      </c>
      <c r="AO116" s="1"/>
    </row>
    <row r="117" spans="2:41">
      <c r="B117" s="327">
        <f>'Tillegg- Inndata Øvrige'!B115</f>
        <v>0</v>
      </c>
      <c r="C117" s="327">
        <f>'Tillegg- Inndata Øvrige'!C115</f>
        <v>0</v>
      </c>
      <c r="D117" s="327">
        <f>'Tillegg- Inndata Øvrige'!D115</f>
        <v>0</v>
      </c>
      <c r="E117" s="421" cm="1">
        <f t="array" ref="E117">SUM(IFERROR(F117:AF117,0))</f>
        <v>0</v>
      </c>
      <c r="F117" s="330">
        <f>'Tillegg- Inndata Øvrige'!E115</f>
        <v>0</v>
      </c>
      <c r="G117" s="330">
        <f>IF('Tillegg- Inndata Øvrige'!AB115="Ja", -0.8*$F117, 0)</f>
        <v>0</v>
      </c>
      <c r="H117" s="330">
        <f>IF('Tillegg- Inndata Øvrige'!AC115="Ja", -0.4*$F117, 0)</f>
        <v>0</v>
      </c>
      <c r="I117" s="330">
        <f>IF('Tillegg- Inndata Øvrige'!AD115="Ja", -1*$F117, 0)</f>
        <v>0</v>
      </c>
      <c r="J117" s="330">
        <f>'Tillegg- Inndata Øvrige'!O115*'Tillegg- Inndata Øvrige'!P115</f>
        <v>0</v>
      </c>
      <c r="K117" s="330">
        <f>MAX(-0.75*(SUM('Tillegg- Res. Det. Øvrige'!F117:J117)),-'Tillegg- Inndata Øvrige'!O115*'Tillegg- Inndata Øvrige'!Q115)</f>
        <v>0</v>
      </c>
      <c r="L117" s="330">
        <f>'Tillegg- Inndata Øvrige'!S115*'Tillegg- Inndata Øvrige'!T115</f>
        <v>0</v>
      </c>
      <c r="M117" s="330">
        <f>MAX(-0.75*(SUM('Tillegg- Res. Det. Øvrige'!F117:I117,L117)),-'Tillegg- Inndata Øvrige'!S115*'Tillegg- Inndata Øvrige'!U115)</f>
        <v>0</v>
      </c>
      <c r="N117" s="331">
        <f>'Tillegg- Inndata Øvrige'!F115</f>
        <v>0</v>
      </c>
      <c r="O117" s="330">
        <f>'Tillegg- Inndata Øvrige'!O115*'Tillegg- Inndata Øvrige'!R115</f>
        <v>0</v>
      </c>
      <c r="P117" s="332">
        <f>'Tillegg- Inndata Øvrige'!S115*'Tillegg- Inndata Øvrige'!V115</f>
        <v>0</v>
      </c>
      <c r="Q117" s="333">
        <f>SUM(F117:J117,L117)*'Tillegg- Inndata Øvrige'!K115</f>
        <v>0</v>
      </c>
      <c r="R117" s="333">
        <f>(K117+M117)*'Tillegg- Inndata Øvrige'!K115</f>
        <v>0</v>
      </c>
      <c r="S117" s="333">
        <f>SUM(N117:P117)*'Tillegg- Inndata Øvrige'!K115</f>
        <v>0</v>
      </c>
      <c r="T117" s="334">
        <f>('Tillegg- Inndata Øvrige'!G115+'Tillegg- Inndata Øvrige'!O115+'Tillegg- Inndata Øvrige'!S115)*'Tillegg- Inndata Øvrige'!K115*Transport_utslipp_til_avfallshånderting_per_kg</f>
        <v>0</v>
      </c>
      <c r="U117" s="330">
        <f>IF('Tillegg- Inndata Øvrige'!E115 = 0, 0, 1.833*'Tillegg- Inndata Øvrige'!X115*'Tillegg- Inndata Øvrige'!K115*('Tillegg- Inndata Øvrige'!G115*('Tillegg- Inndata Øvrige'!L115*0.5+'Tillegg- Inndata Øvrige'!M115*0.8) + (12/44)*('Tillegg- Inndata Øvrige'!O115*'Tillegg- Inndata Øvrige'!Q115+'Tillegg- Inndata Øvrige'!S115*'Tillegg- Inndata Øvrige'!U115)))</f>
        <v>0</v>
      </c>
      <c r="V117" s="335">
        <f>IF('Tillegg- Inndata Øvrige'!G115 = 0, 0,  MAX(-SUM(F117:J117,L117)*'Tillegg- Inndata Øvrige'!L115, -0.114*IF('Tillegg- Inndata Øvrige'!H115 &gt; 49, _xlfn.XLOOKUP(49, År_etter_ferdigstillelse, karbon_opptak_faktor), _xlfn.XLOOKUP('Tillegg- Inndata Øvrige'!H115, År_etter_ferdigstillelse, karbon_opptak_faktor))*'Tillegg- Inndata Øvrige'!G115*'Tillegg- Inndata Øvrige'!L115*0.5))</f>
        <v>0</v>
      </c>
      <c r="W117" s="333">
        <f>IF('Tillegg- Inndata Øvrige'!G115=0,0,IF('Tillegg- Inndata Øvrige'!H115&gt;49,-0.064*'Tillegg- Inndata Øvrige'!G115*'Tillegg- Inndata Øvrige'!N115,-0.037*'Tillegg- Inndata Øvrige'!J115*'Tillegg- Inndata Øvrige'!N115))</f>
        <v>0</v>
      </c>
      <c r="X117" s="331" cm="1">
        <f t="array" ref="X117">IF(SUM(F117:J117,L117)=0, 0, SUM(F117:J117,L117)*(1+'Tillegg-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Y117" s="330" cm="1">
        <f t="array" ref="Y117">IF(X117=0, 0, SUM(K117,M117)*(1+'Tillegg-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Z117" s="336" cm="1">
        <f t="array" ref="Z117">IF(X117=0, 0, SUM(N117:P117)*(1+'Tillegg-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A117" s="336" cm="1">
        <f t="array" ref="AA117">IF(X117=0, 0, ('Tillegg- Inndata Øvrige'!G115+'Tillegg- Inndata Øvrige'!O115+'Tillegg- Inndata Øvrige'!S115)*(1+'Tillegg- Inndata Øvrige'!K115)*Transport_utslipp_til_avfallshånderting_per_kg*IF('Tillegg-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B117" s="334" cm="1">
        <f t="array" ref="AB117">IF(X117=0, 0,1.833*'Tillegg- Inndata Øvrige'!J115*('Tillegg- Inndata Øvrige'!X115*_xlfn.XLOOKUP(IF('Tillegg- Inndata Øvrige'!I115&lt;2,'Tillegg- Inndata Øvrige'!H115,'Tillegg- Inndata Øvrige'!H115*2), År_etter_ferdigstillelse, Faktorer!$Z$7:$Z$58))*('Tillegg- Inndata Øvrige'!L115*0.5+'Tillegg- Inndata Øvrige'!M115*0.8)*_xlfn.XLOOKUP(IF('Tillegg- Inndata Øvrige'!I115&lt;2,'Tillegg- Inndata Øvrige'!H115,'Tillegg- Inndata Øvrige'!H115*2), År_etter_ferdigstillelse,  IF(LEFT('Tillegg- Inndata Øvrige'!B115, 2)= 49, f_tid_x_f_tek_d_0_037, f_tid_x_f_tek_d_0_01)))</f>
        <v>0</v>
      </c>
      <c r="AC117" s="335">
        <f>IF(('Tillegg- Inndata Øvrige'!G115) = 0, 0,('Tillegg- Inndata Øvrige'!G115*((AG117+AI117)*Transport_utslipp_til_avfallshånderting_per_kg)+('Tillegg- Inndata Øvrige'!Z115*'ZERO-B Beregning'!D217)*IF('ZERO-B Beregning'!F218=0,'ZERO-B Beregning'!D218,'ZERO-B Beregning'!F218))*_xlfn.XLOOKUP(51, År_etter_ferdigstillelse, f_tid_x_f_tek_d_0_01))</f>
        <v>0</v>
      </c>
      <c r="AD117" s="337">
        <f>IF(('Tillegg- Inndata Øvrige'!G115) = 0, 0,1.833*('Tillegg- Inndata Øvrige'!G115*('Tillegg- Inndata Øvrige'!L115*0.5+'Tillegg- Inndata Øvrige'!M115*0.8)*AG117*_xlfn.XLOOKUP(51, År_etter_ferdigstillelse,  f_tid_x_f_tek_d_0_01)))</f>
        <v>0</v>
      </c>
      <c r="AE117" s="333" cm="1">
        <f t="array" ref="AE117">IF(('Tillegg- Inndata Øvrige'!G115) = 0, 0,-0.8*('Tillegg- Inndata Øvrige'!G115)*AH117*('Tillegg- Inndata Øvrige'!E115/'Tillegg- Inndata Øvrige'!G115)*_xlfn.XLOOKUP(51, År_etter_ferdigstillelse,  IF(LEFT('Tillegg- Inndata Øvrige'!B115, 2)= 49, f_tid_x_f_tek_d_0_037, f_tid_x_f_tek_d_0_01)))</f>
        <v>0</v>
      </c>
      <c r="AF117" s="338" cm="1">
        <f t="array" ref="AF117">IF(('Tillegg- Inndata Øvrige'!G115) = 0, 0,-0.1*('Tillegg- Inndata Øvrige'!G115)*AI117*('Tillegg- Inndata Øvrige'!E115/'Tillegg- Inndata Øvrige'!G115)*_xlfn.XLOOKUP(51, År_etter_ferdigstillelse,  IF(LEFT('Tillegg- Inndata Øvrige'!B115, 2)= 49, f_tid_x_f_tek_d_0_037, f_tid_x_f_tek_d_0_01)))</f>
        <v>0</v>
      </c>
      <c r="AG117" s="572">
        <f>IF(('Tillegg- Inndata Øvrige'!G115) = 0, 0,'Tillegg- Inndata Øvrige'!X115*Faktorer!$Z$58)</f>
        <v>0</v>
      </c>
      <c r="AH117" s="573">
        <f>IF(('Tillegg- Inndata Øvrige'!G115) = 0, 0,'Tillegg- Inndata Øvrige'!Z115+('Tillegg- Inndata Øvrige'!X115+'Tillegg- Inndata Øvrige'!Y115)*(1-Faktorer!$Z$58)*0.5)</f>
        <v>0</v>
      </c>
      <c r="AI117" s="574">
        <f>IF(('Tillegg- Inndata Øvrige'!G115) = 0, 0,'Tillegg- Inndata Øvrige'!AA115+('Tillegg- Inndata Øvrige'!X115+'Tillegg- Inndata Øvrige'!Y115)*(1-Faktorer!$Z$58)*0.5)</f>
        <v>0</v>
      </c>
      <c r="AK117" s="90">
        <f t="shared" si="2"/>
        <v>0</v>
      </c>
      <c r="AL117" s="91">
        <f>'Tillegg- Res. Det. Øvrige'!N117</f>
        <v>0</v>
      </c>
      <c r="AM117" s="91" t="str">
        <f>IF(F117=0,"",('Tillegg- Inndata Øvrige'!E117+'Tillegg- Inndata Øvrige'!F117)*ROUNDDOWN('Tillegg- Inndata Øvrige'!I117,0)*(1+'Tillegg- Inndata Øvrige'!K117))</f>
        <v/>
      </c>
      <c r="AO117" s="1"/>
    </row>
    <row r="118" spans="2:41">
      <c r="B118" s="327">
        <f>'Tillegg- Inndata Øvrige'!B116</f>
        <v>0</v>
      </c>
      <c r="C118" s="327">
        <f>'Tillegg- Inndata Øvrige'!C116</f>
        <v>0</v>
      </c>
      <c r="D118" s="327">
        <f>'Tillegg- Inndata Øvrige'!D116</f>
        <v>0</v>
      </c>
      <c r="E118" s="421" cm="1">
        <f t="array" ref="E118">SUM(IFERROR(F118:AF118,0))</f>
        <v>0</v>
      </c>
      <c r="F118" s="330">
        <f>'Tillegg- Inndata Øvrige'!E116</f>
        <v>0</v>
      </c>
      <c r="G118" s="330">
        <f>IF('Tillegg- Inndata Øvrige'!AB116="Ja", -0.8*$F118, 0)</f>
        <v>0</v>
      </c>
      <c r="H118" s="330">
        <f>IF('Tillegg- Inndata Øvrige'!AC116="Ja", -0.4*$F118, 0)</f>
        <v>0</v>
      </c>
      <c r="I118" s="330">
        <f>IF('Tillegg- Inndata Øvrige'!AD116="Ja", -1*$F118, 0)</f>
        <v>0</v>
      </c>
      <c r="J118" s="330">
        <f>'Tillegg- Inndata Øvrige'!O116*'Tillegg- Inndata Øvrige'!P116</f>
        <v>0</v>
      </c>
      <c r="K118" s="330">
        <f>MAX(-0.75*(SUM('Tillegg- Res. Det. Øvrige'!F118:J118)),-'Tillegg- Inndata Øvrige'!O116*'Tillegg- Inndata Øvrige'!Q116)</f>
        <v>0</v>
      </c>
      <c r="L118" s="330">
        <f>'Tillegg- Inndata Øvrige'!S116*'Tillegg- Inndata Øvrige'!T116</f>
        <v>0</v>
      </c>
      <c r="M118" s="330">
        <f>MAX(-0.75*(SUM('Tillegg- Res. Det. Øvrige'!F118:I118,L118)),-'Tillegg- Inndata Øvrige'!S116*'Tillegg- Inndata Øvrige'!U116)</f>
        <v>0</v>
      </c>
      <c r="N118" s="331">
        <f>'Tillegg- Inndata Øvrige'!F116</f>
        <v>0</v>
      </c>
      <c r="O118" s="330">
        <f>'Tillegg- Inndata Øvrige'!O116*'Tillegg- Inndata Øvrige'!R116</f>
        <v>0</v>
      </c>
      <c r="P118" s="332">
        <f>'Tillegg- Inndata Øvrige'!S116*'Tillegg- Inndata Øvrige'!V116</f>
        <v>0</v>
      </c>
      <c r="Q118" s="333">
        <f>SUM(F118:J118,L118)*'Tillegg- Inndata Øvrige'!K116</f>
        <v>0</v>
      </c>
      <c r="R118" s="333">
        <f>(K118+M118)*'Tillegg- Inndata Øvrige'!K116</f>
        <v>0</v>
      </c>
      <c r="S118" s="333">
        <f>SUM(N118:P118)*'Tillegg- Inndata Øvrige'!K116</f>
        <v>0</v>
      </c>
      <c r="T118" s="334">
        <f>('Tillegg- Inndata Øvrige'!G116+'Tillegg- Inndata Øvrige'!O116+'Tillegg- Inndata Øvrige'!S116)*'Tillegg- Inndata Øvrige'!K116*Transport_utslipp_til_avfallshånderting_per_kg</f>
        <v>0</v>
      </c>
      <c r="U118" s="330">
        <f>IF('Tillegg- Inndata Øvrige'!E116 = 0, 0, 1.833*'Tillegg- Inndata Øvrige'!X116*'Tillegg- Inndata Øvrige'!K116*('Tillegg- Inndata Øvrige'!G116*('Tillegg- Inndata Øvrige'!L116*0.5+'Tillegg- Inndata Øvrige'!M116*0.8) + (12/44)*('Tillegg- Inndata Øvrige'!O116*'Tillegg- Inndata Øvrige'!Q116+'Tillegg- Inndata Øvrige'!S116*'Tillegg- Inndata Øvrige'!U116)))</f>
        <v>0</v>
      </c>
      <c r="V118" s="335">
        <f>IF('Tillegg- Inndata Øvrige'!G116 = 0, 0,  MAX(-SUM(F118:J118,L118)*'Tillegg- Inndata Øvrige'!L116, -0.114*IF('Tillegg- Inndata Øvrige'!H116 &gt; 49, _xlfn.XLOOKUP(49, År_etter_ferdigstillelse, karbon_opptak_faktor), _xlfn.XLOOKUP('Tillegg- Inndata Øvrige'!H116, År_etter_ferdigstillelse, karbon_opptak_faktor))*'Tillegg- Inndata Øvrige'!G116*'Tillegg- Inndata Øvrige'!L116*0.5))</f>
        <v>0</v>
      </c>
      <c r="W118" s="333">
        <f>IF('Tillegg- Inndata Øvrige'!G116=0,0,IF('Tillegg- Inndata Øvrige'!H116&gt;49,-0.064*'Tillegg- Inndata Øvrige'!G116*'Tillegg- Inndata Øvrige'!N116,-0.037*'Tillegg- Inndata Øvrige'!J116*'Tillegg- Inndata Øvrige'!N116))</f>
        <v>0</v>
      </c>
      <c r="X118" s="331" cm="1">
        <f t="array" ref="X118">IF(SUM(F118:J118,L118)=0, 0, SUM(F118:J118,L118)*(1+'Tillegg-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Y118" s="330" cm="1">
        <f t="array" ref="Y118">IF(X118=0, 0, SUM(K118,M118)*(1+'Tillegg-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Z118" s="336" cm="1">
        <f t="array" ref="Z118">IF(X118=0, 0, SUM(N118:P118)*(1+'Tillegg-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A118" s="336" cm="1">
        <f t="array" ref="AA118">IF(X118=0, 0, ('Tillegg- Inndata Øvrige'!G116+'Tillegg- Inndata Øvrige'!O116+'Tillegg- Inndata Øvrige'!S116)*(1+'Tillegg- Inndata Øvrige'!K116)*Transport_utslipp_til_avfallshånderting_per_kg*IF('Tillegg-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B118" s="334" cm="1">
        <f t="array" ref="AB118">IF(X118=0, 0,1.833*'Tillegg- Inndata Øvrige'!J116*('Tillegg- Inndata Øvrige'!X116*_xlfn.XLOOKUP(IF('Tillegg- Inndata Øvrige'!I116&lt;2,'Tillegg- Inndata Øvrige'!H116,'Tillegg- Inndata Øvrige'!H116*2), År_etter_ferdigstillelse, Faktorer!$Z$7:$Z$58))*('Tillegg- Inndata Øvrige'!L116*0.5+'Tillegg- Inndata Øvrige'!M116*0.8)*_xlfn.XLOOKUP(IF('Tillegg- Inndata Øvrige'!I116&lt;2,'Tillegg- Inndata Øvrige'!H116,'Tillegg- Inndata Øvrige'!H116*2), År_etter_ferdigstillelse,  IF(LEFT('Tillegg- Inndata Øvrige'!B116, 2)= 49, f_tid_x_f_tek_d_0_037, f_tid_x_f_tek_d_0_01)))</f>
        <v>0</v>
      </c>
      <c r="AC118" s="335">
        <f>IF(('Tillegg- Inndata Øvrige'!G116) = 0, 0,('Tillegg- Inndata Øvrige'!G116*((AG118+AI118)*Transport_utslipp_til_avfallshånderting_per_kg)+('Tillegg- Inndata Øvrige'!Z116*'ZERO-B Beregning'!D218)*IF('ZERO-B Beregning'!F219=0,'ZERO-B Beregning'!D219,'ZERO-B Beregning'!F219))*_xlfn.XLOOKUP(51, År_etter_ferdigstillelse, f_tid_x_f_tek_d_0_01))</f>
        <v>0</v>
      </c>
      <c r="AD118" s="337">
        <f>IF(('Tillegg- Inndata Øvrige'!G116) = 0, 0,1.833*('Tillegg- Inndata Øvrige'!G116*('Tillegg- Inndata Øvrige'!L116*0.5+'Tillegg- Inndata Øvrige'!M116*0.8)*AG118*_xlfn.XLOOKUP(51, År_etter_ferdigstillelse,  f_tid_x_f_tek_d_0_01)))</f>
        <v>0</v>
      </c>
      <c r="AE118" s="333" cm="1">
        <f t="array" ref="AE118">IF(('Tillegg- Inndata Øvrige'!G116) = 0, 0,-0.8*('Tillegg- Inndata Øvrige'!G116)*AH118*('Tillegg- Inndata Øvrige'!E116/'Tillegg- Inndata Øvrige'!G116)*_xlfn.XLOOKUP(51, År_etter_ferdigstillelse,  IF(LEFT('Tillegg- Inndata Øvrige'!B116, 2)= 49, f_tid_x_f_tek_d_0_037, f_tid_x_f_tek_d_0_01)))</f>
        <v>0</v>
      </c>
      <c r="AF118" s="338" cm="1">
        <f t="array" ref="AF118">IF(('Tillegg- Inndata Øvrige'!G116) = 0, 0,-0.1*('Tillegg- Inndata Øvrige'!G116)*AI118*('Tillegg- Inndata Øvrige'!E116/'Tillegg- Inndata Øvrige'!G116)*_xlfn.XLOOKUP(51, År_etter_ferdigstillelse,  IF(LEFT('Tillegg- Inndata Øvrige'!B116, 2)= 49, f_tid_x_f_tek_d_0_037, f_tid_x_f_tek_d_0_01)))</f>
        <v>0</v>
      </c>
      <c r="AG118" s="572">
        <f>IF(('Tillegg- Inndata Øvrige'!G116) = 0, 0,'Tillegg- Inndata Øvrige'!X116*Faktorer!$Z$58)</f>
        <v>0</v>
      </c>
      <c r="AH118" s="573">
        <f>IF(('Tillegg- Inndata Øvrige'!G116) = 0, 0,'Tillegg- Inndata Øvrige'!Z116+('Tillegg- Inndata Øvrige'!X116+'Tillegg- Inndata Øvrige'!Y116)*(1-Faktorer!$Z$58)*0.5)</f>
        <v>0</v>
      </c>
      <c r="AI118" s="574">
        <f>IF(('Tillegg- Inndata Øvrige'!G116) = 0, 0,'Tillegg- Inndata Øvrige'!AA116+('Tillegg- Inndata Øvrige'!X116+'Tillegg- Inndata Øvrige'!Y116)*(1-Faktorer!$Z$58)*0.5)</f>
        <v>0</v>
      </c>
      <c r="AK118" s="90">
        <f t="shared" si="2"/>
        <v>0</v>
      </c>
      <c r="AL118" s="91">
        <f>'Tillegg- Res. Det. Øvrige'!N118</f>
        <v>0</v>
      </c>
      <c r="AM118" s="91" t="str">
        <f>IF(F118=0,"",('Tillegg- Inndata Øvrige'!E118+'Tillegg- Inndata Øvrige'!F118)*ROUNDDOWN('Tillegg- Inndata Øvrige'!I118,0)*(1+'Tillegg- Inndata Øvrige'!K118))</f>
        <v/>
      </c>
      <c r="AO118" s="1"/>
    </row>
    <row r="119" spans="2:41">
      <c r="B119" s="327">
        <f>'Tillegg- Inndata Øvrige'!B117</f>
        <v>0</v>
      </c>
      <c r="C119" s="327">
        <f>'Tillegg- Inndata Øvrige'!C117</f>
        <v>0</v>
      </c>
      <c r="D119" s="327">
        <f>'Tillegg- Inndata Øvrige'!D117</f>
        <v>0</v>
      </c>
      <c r="E119" s="421" cm="1">
        <f t="array" ref="E119">SUM(IFERROR(F119:AF119,0))</f>
        <v>0</v>
      </c>
      <c r="F119" s="330">
        <f>'Tillegg- Inndata Øvrige'!E117</f>
        <v>0</v>
      </c>
      <c r="G119" s="330">
        <f>IF('Tillegg- Inndata Øvrige'!AB117="Ja", -0.8*$F119, 0)</f>
        <v>0</v>
      </c>
      <c r="H119" s="330">
        <f>IF('Tillegg- Inndata Øvrige'!AC117="Ja", -0.4*$F119, 0)</f>
        <v>0</v>
      </c>
      <c r="I119" s="330">
        <f>IF('Tillegg- Inndata Øvrige'!AD117="Ja", -1*$F119, 0)</f>
        <v>0</v>
      </c>
      <c r="J119" s="330">
        <f>'Tillegg- Inndata Øvrige'!O117*'Tillegg- Inndata Øvrige'!P117</f>
        <v>0</v>
      </c>
      <c r="K119" s="330">
        <f>MAX(-0.75*(SUM('Tillegg- Res. Det. Øvrige'!F119:J119)),-'Tillegg- Inndata Øvrige'!O117*'Tillegg- Inndata Øvrige'!Q117)</f>
        <v>0</v>
      </c>
      <c r="L119" s="330">
        <f>'Tillegg- Inndata Øvrige'!S117*'Tillegg- Inndata Øvrige'!T117</f>
        <v>0</v>
      </c>
      <c r="M119" s="330">
        <f>MAX(-0.75*(SUM('Tillegg- Res. Det. Øvrige'!F119:I119,L119)),-'Tillegg- Inndata Øvrige'!S117*'Tillegg- Inndata Øvrige'!U117)</f>
        <v>0</v>
      </c>
      <c r="N119" s="331">
        <f>'Tillegg- Inndata Øvrige'!F117</f>
        <v>0</v>
      </c>
      <c r="O119" s="330">
        <f>'Tillegg- Inndata Øvrige'!O117*'Tillegg- Inndata Øvrige'!R117</f>
        <v>0</v>
      </c>
      <c r="P119" s="332">
        <f>'Tillegg- Inndata Øvrige'!S117*'Tillegg- Inndata Øvrige'!V117</f>
        <v>0</v>
      </c>
      <c r="Q119" s="333">
        <f>SUM(F119:J119,L119)*'Tillegg- Inndata Øvrige'!K117</f>
        <v>0</v>
      </c>
      <c r="R119" s="333">
        <f>(K119+M119)*'Tillegg- Inndata Øvrige'!K117</f>
        <v>0</v>
      </c>
      <c r="S119" s="333">
        <f>SUM(N119:P119)*'Tillegg- Inndata Øvrige'!K117</f>
        <v>0</v>
      </c>
      <c r="T119" s="334">
        <f>('Tillegg- Inndata Øvrige'!G117+'Tillegg- Inndata Øvrige'!O117+'Tillegg- Inndata Øvrige'!S117)*'Tillegg- Inndata Øvrige'!K117*Transport_utslipp_til_avfallshånderting_per_kg</f>
        <v>0</v>
      </c>
      <c r="U119" s="330">
        <f>IF('Tillegg- Inndata Øvrige'!E117 = 0, 0, 1.833*'Tillegg- Inndata Øvrige'!X117*'Tillegg- Inndata Øvrige'!K117*('Tillegg- Inndata Øvrige'!G117*('Tillegg- Inndata Øvrige'!L117*0.5+'Tillegg- Inndata Øvrige'!M117*0.8) + (12/44)*('Tillegg- Inndata Øvrige'!O117*'Tillegg- Inndata Øvrige'!Q117+'Tillegg- Inndata Øvrige'!S117*'Tillegg- Inndata Øvrige'!U117)))</f>
        <v>0</v>
      </c>
      <c r="V119" s="335">
        <f>IF('Tillegg- Inndata Øvrige'!G117 = 0, 0,  MAX(-SUM(F119:J119,L119)*'Tillegg- Inndata Øvrige'!L117, -0.114*IF('Tillegg- Inndata Øvrige'!H117 &gt; 49, _xlfn.XLOOKUP(49, År_etter_ferdigstillelse, karbon_opptak_faktor), _xlfn.XLOOKUP('Tillegg- Inndata Øvrige'!H117, År_etter_ferdigstillelse, karbon_opptak_faktor))*'Tillegg- Inndata Øvrige'!G117*'Tillegg- Inndata Øvrige'!L117*0.5))</f>
        <v>0</v>
      </c>
      <c r="W119" s="333">
        <f>IF('Tillegg- Inndata Øvrige'!G117=0,0,IF('Tillegg- Inndata Øvrige'!H117&gt;49,-0.064*'Tillegg- Inndata Øvrige'!G117*'Tillegg- Inndata Øvrige'!N117,-0.037*'Tillegg- Inndata Øvrige'!J117*'Tillegg- Inndata Øvrige'!N117))</f>
        <v>0</v>
      </c>
      <c r="X119" s="331" cm="1">
        <f t="array" ref="X119">IF(SUM(F119:J119,L119)=0, 0, SUM(F119:J119,L119)*(1+'Tillegg-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Y119" s="330" cm="1">
        <f t="array" ref="Y119">IF(X119=0, 0, SUM(K119,M119)*(1+'Tillegg-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Z119" s="336" cm="1">
        <f t="array" ref="Z119">IF(X119=0, 0, SUM(N119:P119)*(1+'Tillegg-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A119" s="336" cm="1">
        <f t="array" ref="AA119">IF(X119=0, 0, ('Tillegg- Inndata Øvrige'!G117+'Tillegg- Inndata Øvrige'!O117+'Tillegg- Inndata Øvrige'!S117)*(1+'Tillegg- Inndata Øvrige'!K117)*Transport_utslipp_til_avfallshånderting_per_kg*IF('Tillegg-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B119" s="334" cm="1">
        <f t="array" ref="AB119">IF(X119=0, 0,1.833*'Tillegg- Inndata Øvrige'!J117*('Tillegg- Inndata Øvrige'!X117*_xlfn.XLOOKUP(IF('Tillegg- Inndata Øvrige'!I117&lt;2,'Tillegg- Inndata Øvrige'!H117,'Tillegg- Inndata Øvrige'!H117*2), År_etter_ferdigstillelse, Faktorer!$Z$7:$Z$58))*('Tillegg- Inndata Øvrige'!L117*0.5+'Tillegg- Inndata Øvrige'!M117*0.8)*_xlfn.XLOOKUP(IF('Tillegg- Inndata Øvrige'!I117&lt;2,'Tillegg- Inndata Øvrige'!H117,'Tillegg- Inndata Øvrige'!H117*2), År_etter_ferdigstillelse,  IF(LEFT('Tillegg- Inndata Øvrige'!B117, 2)= 49, f_tid_x_f_tek_d_0_037, f_tid_x_f_tek_d_0_01)))</f>
        <v>0</v>
      </c>
      <c r="AC119" s="335">
        <f>IF(('Tillegg- Inndata Øvrige'!G117) = 0, 0,('Tillegg- Inndata Øvrige'!G117*((AG119+AI119)*Transport_utslipp_til_avfallshånderting_per_kg)+('Tillegg- Inndata Øvrige'!Z117*'ZERO-B Beregning'!D219)*IF('ZERO-B Beregning'!F220=0,'ZERO-B Beregning'!D220,'ZERO-B Beregning'!F220))*_xlfn.XLOOKUP(51, År_etter_ferdigstillelse, f_tid_x_f_tek_d_0_01))</f>
        <v>0</v>
      </c>
      <c r="AD119" s="337">
        <f>IF(('Tillegg- Inndata Øvrige'!G117) = 0, 0,1.833*('Tillegg- Inndata Øvrige'!G117*('Tillegg- Inndata Øvrige'!L117*0.5+'Tillegg- Inndata Øvrige'!M117*0.8)*AG119*_xlfn.XLOOKUP(51, År_etter_ferdigstillelse,  f_tid_x_f_tek_d_0_01)))</f>
        <v>0</v>
      </c>
      <c r="AE119" s="333" cm="1">
        <f t="array" ref="AE119">IF(('Tillegg- Inndata Øvrige'!G117) = 0, 0,-0.8*('Tillegg- Inndata Øvrige'!G117)*AH119*('Tillegg- Inndata Øvrige'!E117/'Tillegg- Inndata Øvrige'!G117)*_xlfn.XLOOKUP(51, År_etter_ferdigstillelse,  IF(LEFT('Tillegg- Inndata Øvrige'!B117, 2)= 49, f_tid_x_f_tek_d_0_037, f_tid_x_f_tek_d_0_01)))</f>
        <v>0</v>
      </c>
      <c r="AF119" s="338" cm="1">
        <f t="array" ref="AF119">IF(('Tillegg- Inndata Øvrige'!G117) = 0, 0,-0.1*('Tillegg- Inndata Øvrige'!G117)*AI119*('Tillegg- Inndata Øvrige'!E117/'Tillegg- Inndata Øvrige'!G117)*_xlfn.XLOOKUP(51, År_etter_ferdigstillelse,  IF(LEFT('Tillegg- Inndata Øvrige'!B117, 2)= 49, f_tid_x_f_tek_d_0_037, f_tid_x_f_tek_d_0_01)))</f>
        <v>0</v>
      </c>
      <c r="AG119" s="572">
        <f>IF(('Tillegg- Inndata Øvrige'!G117) = 0, 0,'Tillegg- Inndata Øvrige'!X117*Faktorer!$Z$58)</f>
        <v>0</v>
      </c>
      <c r="AH119" s="573">
        <f>IF(('Tillegg- Inndata Øvrige'!G117) = 0, 0,'Tillegg- Inndata Øvrige'!Z117+('Tillegg- Inndata Øvrige'!X117+'Tillegg- Inndata Øvrige'!Y117)*(1-Faktorer!$Z$58)*0.5)</f>
        <v>0</v>
      </c>
      <c r="AI119" s="574">
        <f>IF(('Tillegg- Inndata Øvrige'!G117) = 0, 0,'Tillegg- Inndata Øvrige'!AA117+('Tillegg- Inndata Øvrige'!X117+'Tillegg- Inndata Øvrige'!Y117)*(1-Faktorer!$Z$58)*0.5)</f>
        <v>0</v>
      </c>
      <c r="AK119" s="90">
        <f t="shared" si="2"/>
        <v>0</v>
      </c>
      <c r="AL119" s="91">
        <f>'Tillegg- Res. Det. Øvrige'!N119</f>
        <v>0</v>
      </c>
      <c r="AM119" s="91" t="str">
        <f>IF(F119=0,"",('Tillegg- Inndata Øvrige'!E119+'Tillegg- Inndata Øvrige'!F119)*ROUNDDOWN('Tillegg- Inndata Øvrige'!I119,0)*(1+'Tillegg- Inndata Øvrige'!K119))</f>
        <v/>
      </c>
      <c r="AO119" s="1"/>
    </row>
    <row r="120" spans="2:41">
      <c r="B120" s="327">
        <f>'Tillegg- Inndata Øvrige'!B118</f>
        <v>0</v>
      </c>
      <c r="C120" s="327">
        <f>'Tillegg- Inndata Øvrige'!C118</f>
        <v>0</v>
      </c>
      <c r="D120" s="327">
        <f>'Tillegg- Inndata Øvrige'!D118</f>
        <v>0</v>
      </c>
      <c r="E120" s="421" cm="1">
        <f t="array" ref="E120">SUM(IFERROR(F120:AF120,0))</f>
        <v>0</v>
      </c>
      <c r="F120" s="330">
        <f>'Tillegg- Inndata Øvrige'!E118</f>
        <v>0</v>
      </c>
      <c r="G120" s="330">
        <f>IF('Tillegg- Inndata Øvrige'!AB118="Ja", -0.8*$F120, 0)</f>
        <v>0</v>
      </c>
      <c r="H120" s="330">
        <f>IF('Tillegg- Inndata Øvrige'!AC118="Ja", -0.4*$F120, 0)</f>
        <v>0</v>
      </c>
      <c r="I120" s="330">
        <f>IF('Tillegg- Inndata Øvrige'!AD118="Ja", -1*$F120, 0)</f>
        <v>0</v>
      </c>
      <c r="J120" s="330">
        <f>'Tillegg- Inndata Øvrige'!O118*'Tillegg- Inndata Øvrige'!P118</f>
        <v>0</v>
      </c>
      <c r="K120" s="330">
        <f>MAX(-0.75*(SUM('Tillegg- Res. Det. Øvrige'!F120:J120)),-'Tillegg- Inndata Øvrige'!O118*'Tillegg- Inndata Øvrige'!Q118)</f>
        <v>0</v>
      </c>
      <c r="L120" s="330">
        <f>'Tillegg- Inndata Øvrige'!S118*'Tillegg- Inndata Øvrige'!T118</f>
        <v>0</v>
      </c>
      <c r="M120" s="330">
        <f>MAX(-0.75*(SUM('Tillegg- Res. Det. Øvrige'!F120:I120,L120)),-'Tillegg- Inndata Øvrige'!S118*'Tillegg- Inndata Øvrige'!U118)</f>
        <v>0</v>
      </c>
      <c r="N120" s="331">
        <f>'Tillegg- Inndata Øvrige'!F118</f>
        <v>0</v>
      </c>
      <c r="O120" s="330">
        <f>'Tillegg- Inndata Øvrige'!O118*'Tillegg- Inndata Øvrige'!R118</f>
        <v>0</v>
      </c>
      <c r="P120" s="332">
        <f>'Tillegg- Inndata Øvrige'!S118*'Tillegg- Inndata Øvrige'!V118</f>
        <v>0</v>
      </c>
      <c r="Q120" s="333">
        <f>SUM(F120:J120,L120)*'Tillegg- Inndata Øvrige'!K118</f>
        <v>0</v>
      </c>
      <c r="R120" s="333">
        <f>(K120+M120)*'Tillegg- Inndata Øvrige'!K118</f>
        <v>0</v>
      </c>
      <c r="S120" s="333">
        <f>SUM(N120:P120)*'Tillegg- Inndata Øvrige'!K118</f>
        <v>0</v>
      </c>
      <c r="T120" s="334">
        <f>('Tillegg- Inndata Øvrige'!G118+'Tillegg- Inndata Øvrige'!O118+'Tillegg- Inndata Øvrige'!S118)*'Tillegg- Inndata Øvrige'!K118*Transport_utslipp_til_avfallshånderting_per_kg</f>
        <v>0</v>
      </c>
      <c r="U120" s="330">
        <f>IF('Tillegg- Inndata Øvrige'!E118 = 0, 0, 1.833*'Tillegg- Inndata Øvrige'!X118*'Tillegg- Inndata Øvrige'!K118*('Tillegg- Inndata Øvrige'!G118*('Tillegg- Inndata Øvrige'!L118*0.5+'Tillegg- Inndata Øvrige'!M118*0.8) + (12/44)*('Tillegg- Inndata Øvrige'!O118*'Tillegg- Inndata Øvrige'!Q118+'Tillegg- Inndata Øvrige'!S118*'Tillegg- Inndata Øvrige'!U118)))</f>
        <v>0</v>
      </c>
      <c r="V120" s="335">
        <f>IF('Tillegg- Inndata Øvrige'!G118 = 0, 0,  MAX(-SUM(F120:J120,L120)*'Tillegg- Inndata Øvrige'!L118, -0.114*IF('Tillegg- Inndata Øvrige'!H118 &gt; 49, _xlfn.XLOOKUP(49, År_etter_ferdigstillelse, karbon_opptak_faktor), _xlfn.XLOOKUP('Tillegg- Inndata Øvrige'!H118, År_etter_ferdigstillelse, karbon_opptak_faktor))*'Tillegg- Inndata Øvrige'!G118*'Tillegg- Inndata Øvrige'!L118*0.5))</f>
        <v>0</v>
      </c>
      <c r="W120" s="333">
        <f>IF('Tillegg- Inndata Øvrige'!G118=0,0,IF('Tillegg- Inndata Øvrige'!H118&gt;49,-0.064*'Tillegg- Inndata Øvrige'!G118*'Tillegg- Inndata Øvrige'!N118,-0.037*'Tillegg- Inndata Øvrige'!J118*'Tillegg- Inndata Øvrige'!N118))</f>
        <v>0</v>
      </c>
      <c r="X120" s="331" cm="1">
        <f t="array" ref="X120">IF(SUM(F120:J120,L120)=0, 0, SUM(F120:J120,L120)*(1+'Tillegg-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Y120" s="330" cm="1">
        <f t="array" ref="Y120">IF(X120=0, 0, SUM(K120,M120)*(1+'Tillegg-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Z120" s="336" cm="1">
        <f t="array" ref="Z120">IF(X120=0, 0, SUM(N120:P120)*(1+'Tillegg-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A120" s="336" cm="1">
        <f t="array" ref="AA120">IF(X120=0, 0, ('Tillegg- Inndata Øvrige'!G118+'Tillegg- Inndata Øvrige'!O118+'Tillegg- Inndata Øvrige'!S118)*(1+'Tillegg- Inndata Øvrige'!K118)*Transport_utslipp_til_avfallshånderting_per_kg*IF('Tillegg-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B120" s="334" cm="1">
        <f t="array" ref="AB120">IF(X120=0, 0,1.833*'Tillegg- Inndata Øvrige'!J118*('Tillegg- Inndata Øvrige'!X118*_xlfn.XLOOKUP(IF('Tillegg- Inndata Øvrige'!I118&lt;2,'Tillegg- Inndata Øvrige'!H118,'Tillegg- Inndata Øvrige'!H118*2), År_etter_ferdigstillelse, Faktorer!$Z$7:$Z$58))*('Tillegg- Inndata Øvrige'!L118*0.5+'Tillegg- Inndata Øvrige'!M118*0.8)*_xlfn.XLOOKUP(IF('Tillegg- Inndata Øvrige'!I118&lt;2,'Tillegg- Inndata Øvrige'!H118,'Tillegg- Inndata Øvrige'!H118*2), År_etter_ferdigstillelse,  IF(LEFT('Tillegg- Inndata Øvrige'!B118, 2)= 49, f_tid_x_f_tek_d_0_037, f_tid_x_f_tek_d_0_01)))</f>
        <v>0</v>
      </c>
      <c r="AC120" s="335">
        <f>IF(('Tillegg- Inndata Øvrige'!G118) = 0, 0,('Tillegg- Inndata Øvrige'!G118*((AG120+AI120)*Transport_utslipp_til_avfallshånderting_per_kg)+('Tillegg- Inndata Øvrige'!Z118*'ZERO-B Beregning'!D220)*IF('ZERO-B Beregning'!F221=0,'ZERO-B Beregning'!D221,'ZERO-B Beregning'!F221))*_xlfn.XLOOKUP(51, År_etter_ferdigstillelse, f_tid_x_f_tek_d_0_01))</f>
        <v>0</v>
      </c>
      <c r="AD120" s="337">
        <f>IF(('Tillegg- Inndata Øvrige'!G118) = 0, 0,1.833*('Tillegg- Inndata Øvrige'!G118*('Tillegg- Inndata Øvrige'!L118*0.5+'Tillegg- Inndata Øvrige'!M118*0.8)*AG120*_xlfn.XLOOKUP(51, År_etter_ferdigstillelse,  f_tid_x_f_tek_d_0_01)))</f>
        <v>0</v>
      </c>
      <c r="AE120" s="333" cm="1">
        <f t="array" ref="AE120">IF(('Tillegg- Inndata Øvrige'!G118) = 0, 0,-0.8*('Tillegg- Inndata Øvrige'!G118)*AH120*('Tillegg- Inndata Øvrige'!E118/'Tillegg- Inndata Øvrige'!G118)*_xlfn.XLOOKUP(51, År_etter_ferdigstillelse,  IF(LEFT('Tillegg- Inndata Øvrige'!B118, 2)= 49, f_tid_x_f_tek_d_0_037, f_tid_x_f_tek_d_0_01)))</f>
        <v>0</v>
      </c>
      <c r="AF120" s="338" cm="1">
        <f t="array" ref="AF120">IF(('Tillegg- Inndata Øvrige'!G118) = 0, 0,-0.1*('Tillegg- Inndata Øvrige'!G118)*AI120*('Tillegg- Inndata Øvrige'!E118/'Tillegg- Inndata Øvrige'!G118)*_xlfn.XLOOKUP(51, År_etter_ferdigstillelse,  IF(LEFT('Tillegg- Inndata Øvrige'!B118, 2)= 49, f_tid_x_f_tek_d_0_037, f_tid_x_f_tek_d_0_01)))</f>
        <v>0</v>
      </c>
      <c r="AG120" s="572">
        <f>IF(('Tillegg- Inndata Øvrige'!G118) = 0, 0,'Tillegg- Inndata Øvrige'!X118*Faktorer!$Z$58)</f>
        <v>0</v>
      </c>
      <c r="AH120" s="573">
        <f>IF(('Tillegg- Inndata Øvrige'!G118) = 0, 0,'Tillegg- Inndata Øvrige'!Z118+('Tillegg- Inndata Øvrige'!X118+'Tillegg- Inndata Øvrige'!Y118)*(1-Faktorer!$Z$58)*0.5)</f>
        <v>0</v>
      </c>
      <c r="AI120" s="574">
        <f>IF(('Tillegg- Inndata Øvrige'!G118) = 0, 0,'Tillegg- Inndata Øvrige'!AA118+('Tillegg- Inndata Øvrige'!X118+'Tillegg- Inndata Øvrige'!Y118)*(1-Faktorer!$Z$58)*0.5)</f>
        <v>0</v>
      </c>
      <c r="AK120" s="90">
        <f t="shared" si="2"/>
        <v>0</v>
      </c>
      <c r="AL120" s="91">
        <f>'Tillegg- Res. Det. Øvrige'!N120</f>
        <v>0</v>
      </c>
      <c r="AM120" s="91" t="str">
        <f>IF(F120=0,"",('Tillegg- Inndata Øvrige'!E120+'Tillegg- Inndata Øvrige'!F120)*ROUNDDOWN('Tillegg- Inndata Øvrige'!I120,0)*(1+'Tillegg- Inndata Øvrige'!K120))</f>
        <v/>
      </c>
      <c r="AO120" s="1"/>
    </row>
    <row r="121" spans="2:41">
      <c r="B121" s="327">
        <f>'Tillegg- Inndata Øvrige'!B119</f>
        <v>0</v>
      </c>
      <c r="C121" s="327">
        <f>'Tillegg- Inndata Øvrige'!C119</f>
        <v>0</v>
      </c>
      <c r="D121" s="327">
        <f>'Tillegg- Inndata Øvrige'!D119</f>
        <v>0</v>
      </c>
      <c r="E121" s="421" cm="1">
        <f t="array" ref="E121">SUM(IFERROR(F121:AF121,0))</f>
        <v>0</v>
      </c>
      <c r="F121" s="330">
        <f>'Tillegg- Inndata Øvrige'!E119</f>
        <v>0</v>
      </c>
      <c r="G121" s="330">
        <f>IF('Tillegg- Inndata Øvrige'!AB119="Ja", -0.8*$F121, 0)</f>
        <v>0</v>
      </c>
      <c r="H121" s="330">
        <f>IF('Tillegg- Inndata Øvrige'!AC119="Ja", -0.4*$F121, 0)</f>
        <v>0</v>
      </c>
      <c r="I121" s="330">
        <f>IF('Tillegg- Inndata Øvrige'!AD119="Ja", -1*$F121, 0)</f>
        <v>0</v>
      </c>
      <c r="J121" s="330">
        <f>'Tillegg- Inndata Øvrige'!O119*'Tillegg- Inndata Øvrige'!P119</f>
        <v>0</v>
      </c>
      <c r="K121" s="330">
        <f>MAX(-0.75*(SUM('Tillegg- Res. Det. Øvrige'!F121:J121)),-'Tillegg- Inndata Øvrige'!O119*'Tillegg- Inndata Øvrige'!Q119)</f>
        <v>0</v>
      </c>
      <c r="L121" s="330">
        <f>'Tillegg- Inndata Øvrige'!S119*'Tillegg- Inndata Øvrige'!T119</f>
        <v>0</v>
      </c>
      <c r="M121" s="330">
        <f>MAX(-0.75*(SUM('Tillegg- Res. Det. Øvrige'!F121:I121,L121)),-'Tillegg- Inndata Øvrige'!S119*'Tillegg- Inndata Øvrige'!U119)</f>
        <v>0</v>
      </c>
      <c r="N121" s="331">
        <f>'Tillegg- Inndata Øvrige'!F119</f>
        <v>0</v>
      </c>
      <c r="O121" s="330">
        <f>'Tillegg- Inndata Øvrige'!O119*'Tillegg- Inndata Øvrige'!R119</f>
        <v>0</v>
      </c>
      <c r="P121" s="332">
        <f>'Tillegg- Inndata Øvrige'!S119*'Tillegg- Inndata Øvrige'!V119</f>
        <v>0</v>
      </c>
      <c r="Q121" s="333">
        <f>SUM(F121:J121,L121)*'Tillegg- Inndata Øvrige'!K119</f>
        <v>0</v>
      </c>
      <c r="R121" s="333">
        <f>(K121+M121)*'Tillegg- Inndata Øvrige'!K119</f>
        <v>0</v>
      </c>
      <c r="S121" s="333">
        <f>SUM(N121:P121)*'Tillegg- Inndata Øvrige'!K119</f>
        <v>0</v>
      </c>
      <c r="T121" s="334">
        <f>('Tillegg- Inndata Øvrige'!G119+'Tillegg- Inndata Øvrige'!O119+'Tillegg- Inndata Øvrige'!S119)*'Tillegg- Inndata Øvrige'!K119*Transport_utslipp_til_avfallshånderting_per_kg</f>
        <v>0</v>
      </c>
      <c r="U121" s="330">
        <f>IF('Tillegg- Inndata Øvrige'!E119 = 0, 0, 1.833*'Tillegg- Inndata Øvrige'!X119*'Tillegg- Inndata Øvrige'!K119*('Tillegg- Inndata Øvrige'!G119*('Tillegg- Inndata Øvrige'!L119*0.5+'Tillegg- Inndata Øvrige'!M119*0.8) + (12/44)*('Tillegg- Inndata Øvrige'!O119*'Tillegg- Inndata Øvrige'!Q119+'Tillegg- Inndata Øvrige'!S119*'Tillegg- Inndata Øvrige'!U119)))</f>
        <v>0</v>
      </c>
      <c r="V121" s="335">
        <f>IF('Tillegg- Inndata Øvrige'!G119 = 0, 0,  MAX(-SUM(F121:J121,L121)*'Tillegg- Inndata Øvrige'!L119, -0.114*IF('Tillegg- Inndata Øvrige'!H119 &gt; 49, _xlfn.XLOOKUP(49, År_etter_ferdigstillelse, karbon_opptak_faktor), _xlfn.XLOOKUP('Tillegg- Inndata Øvrige'!H119, År_etter_ferdigstillelse, karbon_opptak_faktor))*'Tillegg- Inndata Øvrige'!G119*'Tillegg- Inndata Øvrige'!L119*0.5))</f>
        <v>0</v>
      </c>
      <c r="W121" s="333">
        <f>IF('Tillegg- Inndata Øvrige'!G119=0,0,IF('Tillegg- Inndata Øvrige'!H119&gt;49,-0.064*'Tillegg- Inndata Øvrige'!G119*'Tillegg- Inndata Øvrige'!N119,-0.037*'Tillegg- Inndata Øvrige'!J119*'Tillegg- Inndata Øvrige'!N119))</f>
        <v>0</v>
      </c>
      <c r="X121" s="331" cm="1">
        <f t="array" ref="X121">IF(SUM(F121:J121,L121)=0, 0, SUM(F121:J121,L121)*(1+'Tillegg-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Y121" s="330" cm="1">
        <f t="array" ref="Y121">IF(X121=0, 0, SUM(K121,M121)*(1+'Tillegg-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Z121" s="336" cm="1">
        <f t="array" ref="Z121">IF(X121=0, 0, SUM(N121:P121)*(1+'Tillegg-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A121" s="336" cm="1">
        <f t="array" ref="AA121">IF(X121=0, 0, ('Tillegg- Inndata Øvrige'!G119+'Tillegg- Inndata Øvrige'!O119+'Tillegg- Inndata Øvrige'!S119)*(1+'Tillegg- Inndata Øvrige'!K119)*Transport_utslipp_til_avfallshånderting_per_kg*IF('Tillegg-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B121" s="334" cm="1">
        <f t="array" ref="AB121">IF(X121=0, 0,1.833*'Tillegg- Inndata Øvrige'!J119*('Tillegg- Inndata Øvrige'!X119*_xlfn.XLOOKUP(IF('Tillegg- Inndata Øvrige'!I119&lt;2,'Tillegg- Inndata Øvrige'!H119,'Tillegg- Inndata Øvrige'!H119*2), År_etter_ferdigstillelse, Faktorer!$Z$7:$Z$58))*('Tillegg- Inndata Øvrige'!L119*0.5+'Tillegg- Inndata Øvrige'!M119*0.8)*_xlfn.XLOOKUP(IF('Tillegg- Inndata Øvrige'!I119&lt;2,'Tillegg- Inndata Øvrige'!H119,'Tillegg- Inndata Øvrige'!H119*2), År_etter_ferdigstillelse,  IF(LEFT('Tillegg- Inndata Øvrige'!B119, 2)= 49, f_tid_x_f_tek_d_0_037, f_tid_x_f_tek_d_0_01)))</f>
        <v>0</v>
      </c>
      <c r="AC121" s="335">
        <f>IF(('Tillegg- Inndata Øvrige'!G119) = 0, 0,('Tillegg- Inndata Øvrige'!G119*((AG121+AI121)*Transport_utslipp_til_avfallshånderting_per_kg)+('Tillegg- Inndata Øvrige'!Z119*'ZERO-B Beregning'!D221)*IF('ZERO-B Beregning'!F222=0,'ZERO-B Beregning'!D222,'ZERO-B Beregning'!F222))*_xlfn.XLOOKUP(51, År_etter_ferdigstillelse, f_tid_x_f_tek_d_0_01))</f>
        <v>0</v>
      </c>
      <c r="AD121" s="337">
        <f>IF(('Tillegg- Inndata Øvrige'!G119) = 0, 0,1.833*('Tillegg- Inndata Øvrige'!G119*('Tillegg- Inndata Øvrige'!L119*0.5+'Tillegg- Inndata Øvrige'!M119*0.8)*AG121*_xlfn.XLOOKUP(51, År_etter_ferdigstillelse,  f_tid_x_f_tek_d_0_01)))</f>
        <v>0</v>
      </c>
      <c r="AE121" s="333" cm="1">
        <f t="array" ref="AE121">IF(('Tillegg- Inndata Øvrige'!G119) = 0, 0,-0.8*('Tillegg- Inndata Øvrige'!G119)*AH121*('Tillegg- Inndata Øvrige'!E119/'Tillegg- Inndata Øvrige'!G119)*_xlfn.XLOOKUP(51, År_etter_ferdigstillelse,  IF(LEFT('Tillegg- Inndata Øvrige'!B119, 2)= 49, f_tid_x_f_tek_d_0_037, f_tid_x_f_tek_d_0_01)))</f>
        <v>0</v>
      </c>
      <c r="AF121" s="338" cm="1">
        <f t="array" ref="AF121">IF(('Tillegg- Inndata Øvrige'!G119) = 0, 0,-0.1*('Tillegg- Inndata Øvrige'!G119)*AI121*('Tillegg- Inndata Øvrige'!E119/'Tillegg- Inndata Øvrige'!G119)*_xlfn.XLOOKUP(51, År_etter_ferdigstillelse,  IF(LEFT('Tillegg- Inndata Øvrige'!B119, 2)= 49, f_tid_x_f_tek_d_0_037, f_tid_x_f_tek_d_0_01)))</f>
        <v>0</v>
      </c>
      <c r="AG121" s="572">
        <f>IF(('Tillegg- Inndata Øvrige'!G119) = 0, 0,'Tillegg- Inndata Øvrige'!X119*Faktorer!$Z$58)</f>
        <v>0</v>
      </c>
      <c r="AH121" s="573">
        <f>IF(('Tillegg- Inndata Øvrige'!G119) = 0, 0,'Tillegg- Inndata Øvrige'!Z119+('Tillegg- Inndata Øvrige'!X119+'Tillegg- Inndata Øvrige'!Y119)*(1-Faktorer!$Z$58)*0.5)</f>
        <v>0</v>
      </c>
      <c r="AI121" s="574">
        <f>IF(('Tillegg- Inndata Øvrige'!G119) = 0, 0,'Tillegg- Inndata Øvrige'!AA119+('Tillegg- Inndata Øvrige'!X119+'Tillegg- Inndata Øvrige'!Y119)*(1-Faktorer!$Z$58)*0.5)</f>
        <v>0</v>
      </c>
      <c r="AK121" s="90">
        <f t="shared" si="2"/>
        <v>0</v>
      </c>
      <c r="AL121" s="91">
        <f>'Tillegg- Res. Det. Øvrige'!N121</f>
        <v>0</v>
      </c>
      <c r="AM121" s="91" t="str">
        <f>IF(F121=0,"",('Tillegg- Inndata Øvrige'!E121+'Tillegg- Inndata Øvrige'!F121)*ROUNDDOWN('Tillegg- Inndata Øvrige'!I121,0)*(1+'Tillegg- Inndata Øvrige'!K121))</f>
        <v/>
      </c>
      <c r="AO121" s="1"/>
    </row>
    <row r="122" spans="2:41">
      <c r="B122" s="327">
        <f>'Tillegg- Inndata Øvrige'!B120</f>
        <v>0</v>
      </c>
      <c r="C122" s="327">
        <f>'Tillegg- Inndata Øvrige'!C120</f>
        <v>0</v>
      </c>
      <c r="D122" s="327">
        <f>'Tillegg- Inndata Øvrige'!D120</f>
        <v>0</v>
      </c>
      <c r="E122" s="421" cm="1">
        <f t="array" ref="E122">SUM(IFERROR(F122:AF122,0))</f>
        <v>0</v>
      </c>
      <c r="F122" s="330">
        <f>'Tillegg- Inndata Øvrige'!E120</f>
        <v>0</v>
      </c>
      <c r="G122" s="330">
        <f>IF('Tillegg- Inndata Øvrige'!AB120="Ja", -0.8*$F122, 0)</f>
        <v>0</v>
      </c>
      <c r="H122" s="330">
        <f>IF('Tillegg- Inndata Øvrige'!AC120="Ja", -0.4*$F122, 0)</f>
        <v>0</v>
      </c>
      <c r="I122" s="330">
        <f>IF('Tillegg- Inndata Øvrige'!AD120="Ja", -1*$F122, 0)</f>
        <v>0</v>
      </c>
      <c r="J122" s="330">
        <f>'Tillegg- Inndata Øvrige'!O120*'Tillegg- Inndata Øvrige'!P120</f>
        <v>0</v>
      </c>
      <c r="K122" s="330">
        <f>MAX(-0.75*(SUM('Tillegg- Res. Det. Øvrige'!F122:J122)),-'Tillegg- Inndata Øvrige'!O120*'Tillegg- Inndata Øvrige'!Q120)</f>
        <v>0</v>
      </c>
      <c r="L122" s="330">
        <f>'Tillegg- Inndata Øvrige'!S120*'Tillegg- Inndata Øvrige'!T120</f>
        <v>0</v>
      </c>
      <c r="M122" s="330">
        <f>MAX(-0.75*(SUM('Tillegg- Res. Det. Øvrige'!F122:I122,L122)),-'Tillegg- Inndata Øvrige'!S120*'Tillegg- Inndata Øvrige'!U120)</f>
        <v>0</v>
      </c>
      <c r="N122" s="331">
        <f>'Tillegg- Inndata Øvrige'!F120</f>
        <v>0</v>
      </c>
      <c r="O122" s="330">
        <f>'Tillegg- Inndata Øvrige'!O120*'Tillegg- Inndata Øvrige'!R120</f>
        <v>0</v>
      </c>
      <c r="P122" s="332">
        <f>'Tillegg- Inndata Øvrige'!S120*'Tillegg- Inndata Øvrige'!V120</f>
        <v>0</v>
      </c>
      <c r="Q122" s="333">
        <f>SUM(F122:J122,L122)*'Tillegg- Inndata Øvrige'!K120</f>
        <v>0</v>
      </c>
      <c r="R122" s="333">
        <f>(K122+M122)*'Tillegg- Inndata Øvrige'!K120</f>
        <v>0</v>
      </c>
      <c r="S122" s="333">
        <f>SUM(N122:P122)*'Tillegg- Inndata Øvrige'!K120</f>
        <v>0</v>
      </c>
      <c r="T122" s="334">
        <f>('Tillegg- Inndata Øvrige'!G120+'Tillegg- Inndata Øvrige'!O120+'Tillegg- Inndata Øvrige'!S120)*'Tillegg- Inndata Øvrige'!K120*Transport_utslipp_til_avfallshånderting_per_kg</f>
        <v>0</v>
      </c>
      <c r="U122" s="330">
        <f>IF('Tillegg- Inndata Øvrige'!E120 = 0, 0, 1.833*'Tillegg- Inndata Øvrige'!X120*'Tillegg- Inndata Øvrige'!K120*('Tillegg- Inndata Øvrige'!G120*('Tillegg- Inndata Øvrige'!L120*0.5+'Tillegg- Inndata Øvrige'!M120*0.8) + (12/44)*('Tillegg- Inndata Øvrige'!O120*'Tillegg- Inndata Øvrige'!Q120+'Tillegg- Inndata Øvrige'!S120*'Tillegg- Inndata Øvrige'!U120)))</f>
        <v>0</v>
      </c>
      <c r="V122" s="335">
        <f>IF('Tillegg- Inndata Øvrige'!G120 = 0, 0,  MAX(-SUM(F122:J122,L122)*'Tillegg- Inndata Øvrige'!L120, -0.114*IF('Tillegg- Inndata Øvrige'!H120 &gt; 49, _xlfn.XLOOKUP(49, År_etter_ferdigstillelse, karbon_opptak_faktor), _xlfn.XLOOKUP('Tillegg- Inndata Øvrige'!H120, År_etter_ferdigstillelse, karbon_opptak_faktor))*'Tillegg- Inndata Øvrige'!G120*'Tillegg- Inndata Øvrige'!L120*0.5))</f>
        <v>0</v>
      </c>
      <c r="W122" s="333">
        <f>IF('Tillegg- Inndata Øvrige'!G120=0,0,IF('Tillegg- Inndata Øvrige'!H120&gt;49,-0.064*'Tillegg- Inndata Øvrige'!G120*'Tillegg- Inndata Øvrige'!N120,-0.037*'Tillegg- Inndata Øvrige'!J120*'Tillegg- Inndata Øvrige'!N120))</f>
        <v>0</v>
      </c>
      <c r="X122" s="331" cm="1">
        <f t="array" ref="X122">IF(SUM(F122:J122,L122)=0, 0, SUM(F122:J122,L122)*(1+'Tillegg-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Y122" s="330" cm="1">
        <f t="array" ref="Y122">IF(X122=0, 0, SUM(K122,M122)*(1+'Tillegg-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Z122" s="336" cm="1">
        <f t="array" ref="Z122">IF(X122=0, 0, SUM(N122:P122)*(1+'Tillegg-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A122" s="336" cm="1">
        <f t="array" ref="AA122">IF(X122=0, 0, ('Tillegg- Inndata Øvrige'!G120+'Tillegg- Inndata Øvrige'!O120+'Tillegg- Inndata Øvrige'!S120)*(1+'Tillegg- Inndata Øvrige'!K120)*Transport_utslipp_til_avfallshånderting_per_kg*IF('Tillegg-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B122" s="334" cm="1">
        <f t="array" ref="AB122">IF(X122=0, 0,1.833*'Tillegg- Inndata Øvrige'!J120*('Tillegg- Inndata Øvrige'!X120*_xlfn.XLOOKUP(IF('Tillegg- Inndata Øvrige'!I120&lt;2,'Tillegg- Inndata Øvrige'!H120,'Tillegg- Inndata Øvrige'!H120*2), År_etter_ferdigstillelse, Faktorer!$Z$7:$Z$58))*('Tillegg- Inndata Øvrige'!L120*0.5+'Tillegg- Inndata Øvrige'!M120*0.8)*_xlfn.XLOOKUP(IF('Tillegg- Inndata Øvrige'!I120&lt;2,'Tillegg- Inndata Øvrige'!H120,'Tillegg- Inndata Øvrige'!H120*2), År_etter_ferdigstillelse,  IF(LEFT('Tillegg- Inndata Øvrige'!B120, 2)= 49, f_tid_x_f_tek_d_0_037, f_tid_x_f_tek_d_0_01)))</f>
        <v>0</v>
      </c>
      <c r="AC122" s="335">
        <f>IF(('Tillegg- Inndata Øvrige'!G120) = 0, 0,('Tillegg- Inndata Øvrige'!G120*((AG122+AI122)*Transport_utslipp_til_avfallshånderting_per_kg)+('Tillegg- Inndata Øvrige'!Z120*'ZERO-B Beregning'!D222)*IF('ZERO-B Beregning'!F223=0,'ZERO-B Beregning'!D223,'ZERO-B Beregning'!F223))*_xlfn.XLOOKUP(51, År_etter_ferdigstillelse, f_tid_x_f_tek_d_0_01))</f>
        <v>0</v>
      </c>
      <c r="AD122" s="337">
        <f>IF(('Tillegg- Inndata Øvrige'!G120) = 0, 0,1.833*('Tillegg- Inndata Øvrige'!G120*('Tillegg- Inndata Øvrige'!L120*0.5+'Tillegg- Inndata Øvrige'!M120*0.8)*AG122*_xlfn.XLOOKUP(51, År_etter_ferdigstillelse,  f_tid_x_f_tek_d_0_01)))</f>
        <v>0</v>
      </c>
      <c r="AE122" s="333" cm="1">
        <f t="array" ref="AE122">IF(('Tillegg- Inndata Øvrige'!G120) = 0, 0,-0.8*('Tillegg- Inndata Øvrige'!G120)*AH122*('Tillegg- Inndata Øvrige'!E120/'Tillegg- Inndata Øvrige'!G120)*_xlfn.XLOOKUP(51, År_etter_ferdigstillelse,  IF(LEFT('Tillegg- Inndata Øvrige'!B120, 2)= 49, f_tid_x_f_tek_d_0_037, f_tid_x_f_tek_d_0_01)))</f>
        <v>0</v>
      </c>
      <c r="AF122" s="338" cm="1">
        <f t="array" ref="AF122">IF(('Tillegg- Inndata Øvrige'!G120) = 0, 0,-0.1*('Tillegg- Inndata Øvrige'!G120)*AI122*('Tillegg- Inndata Øvrige'!E120/'Tillegg- Inndata Øvrige'!G120)*_xlfn.XLOOKUP(51, År_etter_ferdigstillelse,  IF(LEFT('Tillegg- Inndata Øvrige'!B120, 2)= 49, f_tid_x_f_tek_d_0_037, f_tid_x_f_tek_d_0_01)))</f>
        <v>0</v>
      </c>
      <c r="AG122" s="572">
        <f>IF(('Tillegg- Inndata Øvrige'!G120) = 0, 0,'Tillegg- Inndata Øvrige'!X120*Faktorer!$Z$58)</f>
        <v>0</v>
      </c>
      <c r="AH122" s="573">
        <f>IF(('Tillegg- Inndata Øvrige'!G120) = 0, 0,'Tillegg- Inndata Øvrige'!Z120+('Tillegg- Inndata Øvrige'!X120+'Tillegg- Inndata Øvrige'!Y120)*(1-Faktorer!$Z$58)*0.5)</f>
        <v>0</v>
      </c>
      <c r="AI122" s="574">
        <f>IF(('Tillegg- Inndata Øvrige'!G120) = 0, 0,'Tillegg- Inndata Øvrige'!AA120+('Tillegg- Inndata Øvrige'!X120+'Tillegg- Inndata Øvrige'!Y120)*(1-Faktorer!$Z$58)*0.5)</f>
        <v>0</v>
      </c>
      <c r="AK122" s="90">
        <f t="shared" si="2"/>
        <v>0</v>
      </c>
      <c r="AL122" s="91">
        <f>'Tillegg- Res. Det. Øvrige'!N122</f>
        <v>0</v>
      </c>
      <c r="AM122" s="91" t="str">
        <f>IF(F122=0,"",('Tillegg- Inndata Øvrige'!E122+'Tillegg- Inndata Øvrige'!F122)*ROUNDDOWN('Tillegg- Inndata Øvrige'!I122,0)*(1+'Tillegg- Inndata Øvrige'!K122))</f>
        <v/>
      </c>
      <c r="AO122" s="1"/>
    </row>
    <row r="123" spans="2:41">
      <c r="B123" s="327">
        <f>'Tillegg- Inndata Øvrige'!B121</f>
        <v>0</v>
      </c>
      <c r="C123" s="327">
        <f>'Tillegg- Inndata Øvrige'!C121</f>
        <v>0</v>
      </c>
      <c r="D123" s="327">
        <f>'Tillegg- Inndata Øvrige'!D121</f>
        <v>0</v>
      </c>
      <c r="E123" s="421" cm="1">
        <f t="array" ref="E123">SUM(IFERROR(F123:AF123,0))</f>
        <v>0</v>
      </c>
      <c r="F123" s="330">
        <f>'Tillegg- Inndata Øvrige'!E121</f>
        <v>0</v>
      </c>
      <c r="G123" s="330">
        <f>IF('Tillegg- Inndata Øvrige'!AB121="Ja", -0.8*$F123, 0)</f>
        <v>0</v>
      </c>
      <c r="H123" s="330">
        <f>IF('Tillegg- Inndata Øvrige'!AC121="Ja", -0.4*$F123, 0)</f>
        <v>0</v>
      </c>
      <c r="I123" s="330">
        <f>IF('Tillegg- Inndata Øvrige'!AD121="Ja", -1*$F123, 0)</f>
        <v>0</v>
      </c>
      <c r="J123" s="330">
        <f>'Tillegg- Inndata Øvrige'!O121*'Tillegg- Inndata Øvrige'!P121</f>
        <v>0</v>
      </c>
      <c r="K123" s="330">
        <f>MAX(-0.75*(SUM('Tillegg- Res. Det. Øvrige'!F123:J123)),-'Tillegg- Inndata Øvrige'!O121*'Tillegg- Inndata Øvrige'!Q121)</f>
        <v>0</v>
      </c>
      <c r="L123" s="330">
        <f>'Tillegg- Inndata Øvrige'!S121*'Tillegg- Inndata Øvrige'!T121</f>
        <v>0</v>
      </c>
      <c r="M123" s="330">
        <f>MAX(-0.75*(SUM('Tillegg- Res. Det. Øvrige'!F123:I123,L123)),-'Tillegg- Inndata Øvrige'!S121*'Tillegg- Inndata Øvrige'!U121)</f>
        <v>0</v>
      </c>
      <c r="N123" s="331">
        <f>'Tillegg- Inndata Øvrige'!F121</f>
        <v>0</v>
      </c>
      <c r="O123" s="330">
        <f>'Tillegg- Inndata Øvrige'!O121*'Tillegg- Inndata Øvrige'!R121</f>
        <v>0</v>
      </c>
      <c r="P123" s="332">
        <f>'Tillegg- Inndata Øvrige'!S121*'Tillegg- Inndata Øvrige'!V121</f>
        <v>0</v>
      </c>
      <c r="Q123" s="333">
        <f>SUM(F123:J123,L123)*'Tillegg- Inndata Øvrige'!K121</f>
        <v>0</v>
      </c>
      <c r="R123" s="333">
        <f>(K123+M123)*'Tillegg- Inndata Øvrige'!K121</f>
        <v>0</v>
      </c>
      <c r="S123" s="333">
        <f>SUM(N123:P123)*'Tillegg- Inndata Øvrige'!K121</f>
        <v>0</v>
      </c>
      <c r="T123" s="334">
        <f>('Tillegg- Inndata Øvrige'!G121+'Tillegg- Inndata Øvrige'!O121+'Tillegg- Inndata Øvrige'!S121)*'Tillegg- Inndata Øvrige'!K121*Transport_utslipp_til_avfallshånderting_per_kg</f>
        <v>0</v>
      </c>
      <c r="U123" s="330">
        <f>IF('Tillegg- Inndata Øvrige'!E121 = 0, 0, 1.833*'Tillegg- Inndata Øvrige'!X121*'Tillegg- Inndata Øvrige'!K121*('Tillegg- Inndata Øvrige'!G121*('Tillegg- Inndata Øvrige'!L121*0.5+'Tillegg- Inndata Øvrige'!M121*0.8) + (12/44)*('Tillegg- Inndata Øvrige'!O121*'Tillegg- Inndata Øvrige'!Q121+'Tillegg- Inndata Øvrige'!S121*'Tillegg- Inndata Øvrige'!U121)))</f>
        <v>0</v>
      </c>
      <c r="V123" s="335">
        <f>IF('Tillegg- Inndata Øvrige'!G121 = 0, 0,  MAX(-SUM(F123:J123,L123)*'Tillegg- Inndata Øvrige'!L121, -0.114*IF('Tillegg- Inndata Øvrige'!H121 &gt; 49, _xlfn.XLOOKUP(49, År_etter_ferdigstillelse, karbon_opptak_faktor), _xlfn.XLOOKUP('Tillegg- Inndata Øvrige'!H121, År_etter_ferdigstillelse, karbon_opptak_faktor))*'Tillegg- Inndata Øvrige'!G121*'Tillegg- Inndata Øvrige'!L121*0.5))</f>
        <v>0</v>
      </c>
      <c r="W123" s="333">
        <f>IF('Tillegg- Inndata Øvrige'!G121=0,0,IF('Tillegg- Inndata Øvrige'!H121&gt;49,-0.064*'Tillegg- Inndata Øvrige'!G121*'Tillegg- Inndata Øvrige'!N121,-0.037*'Tillegg- Inndata Øvrige'!J121*'Tillegg- Inndata Øvrige'!N121))</f>
        <v>0</v>
      </c>
      <c r="X123" s="331" cm="1">
        <f t="array" ref="X123">IF(SUM(F123:J123,L123)=0, 0, SUM(F123:J123,L123)*(1+'Tillegg-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Y123" s="330" cm="1">
        <f t="array" ref="Y123">IF(X123=0, 0, SUM(K123,M123)*(1+'Tillegg-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Z123" s="336" cm="1">
        <f t="array" ref="Z123">IF(X123=0, 0, SUM(N123:P123)*(1+'Tillegg-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A123" s="336" cm="1">
        <f t="array" ref="AA123">IF(X123=0, 0, ('Tillegg- Inndata Øvrige'!G121+'Tillegg- Inndata Øvrige'!O121+'Tillegg- Inndata Øvrige'!S121)*(1+'Tillegg- Inndata Øvrige'!K121)*Transport_utslipp_til_avfallshånderting_per_kg*IF('Tillegg-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B123" s="334" cm="1">
        <f t="array" ref="AB123">IF(X123=0, 0,1.833*'Tillegg- Inndata Øvrige'!J121*('Tillegg- Inndata Øvrige'!X121*_xlfn.XLOOKUP(IF('Tillegg- Inndata Øvrige'!I121&lt;2,'Tillegg- Inndata Øvrige'!H121,'Tillegg- Inndata Øvrige'!H121*2), År_etter_ferdigstillelse, Faktorer!$Z$7:$Z$58))*('Tillegg- Inndata Øvrige'!L121*0.5+'Tillegg- Inndata Øvrige'!M121*0.8)*_xlfn.XLOOKUP(IF('Tillegg- Inndata Øvrige'!I121&lt;2,'Tillegg- Inndata Øvrige'!H121,'Tillegg- Inndata Øvrige'!H121*2), År_etter_ferdigstillelse,  IF(LEFT('Tillegg- Inndata Øvrige'!B121, 2)= 49, f_tid_x_f_tek_d_0_037, f_tid_x_f_tek_d_0_01)))</f>
        <v>0</v>
      </c>
      <c r="AC123" s="335">
        <f>IF(('Tillegg- Inndata Øvrige'!G121) = 0, 0,('Tillegg- Inndata Øvrige'!G121*((AG123+AI123)*Transport_utslipp_til_avfallshånderting_per_kg)+('Tillegg- Inndata Øvrige'!Z121*'ZERO-B Beregning'!D223)*IF('ZERO-B Beregning'!F224=0,'ZERO-B Beregning'!D224,'ZERO-B Beregning'!F224))*_xlfn.XLOOKUP(51, År_etter_ferdigstillelse, f_tid_x_f_tek_d_0_01))</f>
        <v>0</v>
      </c>
      <c r="AD123" s="337">
        <f>IF(('Tillegg- Inndata Øvrige'!G121) = 0, 0,1.833*('Tillegg- Inndata Øvrige'!G121*('Tillegg- Inndata Øvrige'!L121*0.5+'Tillegg- Inndata Øvrige'!M121*0.8)*AG123*_xlfn.XLOOKUP(51, År_etter_ferdigstillelse,  f_tid_x_f_tek_d_0_01)))</f>
        <v>0</v>
      </c>
      <c r="AE123" s="333" cm="1">
        <f t="array" ref="AE123">IF(('Tillegg- Inndata Øvrige'!G121) = 0, 0,-0.8*('Tillegg- Inndata Øvrige'!G121)*AH123*('Tillegg- Inndata Øvrige'!E121/'Tillegg- Inndata Øvrige'!G121)*_xlfn.XLOOKUP(51, År_etter_ferdigstillelse,  IF(LEFT('Tillegg- Inndata Øvrige'!B121, 2)= 49, f_tid_x_f_tek_d_0_037, f_tid_x_f_tek_d_0_01)))</f>
        <v>0</v>
      </c>
      <c r="AF123" s="338" cm="1">
        <f t="array" ref="AF123">IF(('Tillegg- Inndata Øvrige'!G121) = 0, 0,-0.1*('Tillegg- Inndata Øvrige'!G121)*AI123*('Tillegg- Inndata Øvrige'!E121/'Tillegg- Inndata Øvrige'!G121)*_xlfn.XLOOKUP(51, År_etter_ferdigstillelse,  IF(LEFT('Tillegg- Inndata Øvrige'!B121, 2)= 49, f_tid_x_f_tek_d_0_037, f_tid_x_f_tek_d_0_01)))</f>
        <v>0</v>
      </c>
      <c r="AG123" s="572">
        <f>IF(('Tillegg- Inndata Øvrige'!G121) = 0, 0,'Tillegg- Inndata Øvrige'!X121*Faktorer!$Z$58)</f>
        <v>0</v>
      </c>
      <c r="AH123" s="573">
        <f>IF(('Tillegg- Inndata Øvrige'!G121) = 0, 0,'Tillegg- Inndata Øvrige'!Z121+('Tillegg- Inndata Øvrige'!X121+'Tillegg- Inndata Øvrige'!Y121)*(1-Faktorer!$Z$58)*0.5)</f>
        <v>0</v>
      </c>
      <c r="AI123" s="574">
        <f>IF(('Tillegg- Inndata Øvrige'!G121) = 0, 0,'Tillegg- Inndata Øvrige'!AA121+('Tillegg- Inndata Øvrige'!X121+'Tillegg- Inndata Øvrige'!Y121)*(1-Faktorer!$Z$58)*0.5)</f>
        <v>0</v>
      </c>
      <c r="AK123" s="90">
        <f t="shared" si="2"/>
        <v>0</v>
      </c>
      <c r="AL123" s="91">
        <f>'Tillegg- Res. Det. Øvrige'!N123</f>
        <v>0</v>
      </c>
      <c r="AM123" s="91" t="str">
        <f>IF(F123=0,"",('Tillegg- Inndata Øvrige'!E123+'Tillegg- Inndata Øvrige'!F123)*ROUNDDOWN('Tillegg- Inndata Øvrige'!I123,0)*(1+'Tillegg- Inndata Øvrige'!K123))</f>
        <v/>
      </c>
      <c r="AO123" s="1"/>
    </row>
    <row r="124" spans="2:41">
      <c r="B124" s="327">
        <f>'Tillegg- Inndata Øvrige'!B122</f>
        <v>0</v>
      </c>
      <c r="C124" s="327">
        <f>'Tillegg- Inndata Øvrige'!C122</f>
        <v>0</v>
      </c>
      <c r="D124" s="327">
        <f>'Tillegg- Inndata Øvrige'!D122</f>
        <v>0</v>
      </c>
      <c r="E124" s="421" cm="1">
        <f t="array" ref="E124">SUM(IFERROR(F124:AF124,0))</f>
        <v>0</v>
      </c>
      <c r="F124" s="330">
        <f>'Tillegg- Inndata Øvrige'!E122</f>
        <v>0</v>
      </c>
      <c r="G124" s="330">
        <f>IF('Tillegg- Inndata Øvrige'!AB122="Ja", -0.8*$F124, 0)</f>
        <v>0</v>
      </c>
      <c r="H124" s="330">
        <f>IF('Tillegg- Inndata Øvrige'!AC122="Ja", -0.4*$F124, 0)</f>
        <v>0</v>
      </c>
      <c r="I124" s="330">
        <f>IF('Tillegg- Inndata Øvrige'!AD122="Ja", -1*$F124, 0)</f>
        <v>0</v>
      </c>
      <c r="J124" s="330">
        <f>'Tillegg- Inndata Øvrige'!O122*'Tillegg- Inndata Øvrige'!P122</f>
        <v>0</v>
      </c>
      <c r="K124" s="330">
        <f>MAX(-0.75*(SUM('Tillegg- Res. Det. Øvrige'!F124:J124)),-'Tillegg- Inndata Øvrige'!O122*'Tillegg- Inndata Øvrige'!Q122)</f>
        <v>0</v>
      </c>
      <c r="L124" s="330">
        <f>'Tillegg- Inndata Øvrige'!S122*'Tillegg- Inndata Øvrige'!T122</f>
        <v>0</v>
      </c>
      <c r="M124" s="330">
        <f>MAX(-0.75*(SUM('Tillegg- Res. Det. Øvrige'!F124:I124,L124)),-'Tillegg- Inndata Øvrige'!S122*'Tillegg- Inndata Øvrige'!U122)</f>
        <v>0</v>
      </c>
      <c r="N124" s="331">
        <f>'Tillegg- Inndata Øvrige'!F122</f>
        <v>0</v>
      </c>
      <c r="O124" s="330">
        <f>'Tillegg- Inndata Øvrige'!O122*'Tillegg- Inndata Øvrige'!R122</f>
        <v>0</v>
      </c>
      <c r="P124" s="332">
        <f>'Tillegg- Inndata Øvrige'!S122*'Tillegg- Inndata Øvrige'!V122</f>
        <v>0</v>
      </c>
      <c r="Q124" s="333">
        <f>SUM(F124:J124,L124)*'Tillegg- Inndata Øvrige'!K122</f>
        <v>0</v>
      </c>
      <c r="R124" s="333">
        <f>(K124+M124)*'Tillegg- Inndata Øvrige'!K122</f>
        <v>0</v>
      </c>
      <c r="S124" s="333">
        <f>SUM(N124:P124)*'Tillegg- Inndata Øvrige'!K122</f>
        <v>0</v>
      </c>
      <c r="T124" s="334">
        <f>('Tillegg- Inndata Øvrige'!G122+'Tillegg- Inndata Øvrige'!O122+'Tillegg- Inndata Øvrige'!S122)*'Tillegg- Inndata Øvrige'!K122*Transport_utslipp_til_avfallshånderting_per_kg</f>
        <v>0</v>
      </c>
      <c r="U124" s="330">
        <f>IF('Tillegg- Inndata Øvrige'!E122 = 0, 0, 1.833*'Tillegg- Inndata Øvrige'!X122*'Tillegg- Inndata Øvrige'!K122*('Tillegg- Inndata Øvrige'!G122*('Tillegg- Inndata Øvrige'!L122*0.5+'Tillegg- Inndata Øvrige'!M122*0.8) + (12/44)*('Tillegg- Inndata Øvrige'!O122*'Tillegg- Inndata Øvrige'!Q122+'Tillegg- Inndata Øvrige'!S122*'Tillegg- Inndata Øvrige'!U122)))</f>
        <v>0</v>
      </c>
      <c r="V124" s="335">
        <f>IF('Tillegg- Inndata Øvrige'!G122 = 0, 0,  MAX(-SUM(F124:J124,L124)*'Tillegg- Inndata Øvrige'!L122, -0.114*IF('Tillegg- Inndata Øvrige'!H122 &gt; 49, _xlfn.XLOOKUP(49, År_etter_ferdigstillelse, karbon_opptak_faktor), _xlfn.XLOOKUP('Tillegg- Inndata Øvrige'!H122, År_etter_ferdigstillelse, karbon_opptak_faktor))*'Tillegg- Inndata Øvrige'!G122*'Tillegg- Inndata Øvrige'!L122*0.5))</f>
        <v>0</v>
      </c>
      <c r="W124" s="333">
        <f>IF('Tillegg- Inndata Øvrige'!G122=0,0,IF('Tillegg- Inndata Øvrige'!H122&gt;49,-0.064*'Tillegg- Inndata Øvrige'!G122*'Tillegg- Inndata Øvrige'!N122,-0.037*'Tillegg- Inndata Øvrige'!J122*'Tillegg- Inndata Øvrige'!N122))</f>
        <v>0</v>
      </c>
      <c r="X124" s="331" cm="1">
        <f t="array" ref="X124">IF(SUM(F124:J124,L124)=0, 0, SUM(F124:J124,L124)*(1+'Tillegg-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Y124" s="330" cm="1">
        <f t="array" ref="Y124">IF(X124=0, 0, SUM(K124,M124)*(1+'Tillegg-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Z124" s="336" cm="1">
        <f t="array" ref="Z124">IF(X124=0, 0, SUM(N124:P124)*(1+'Tillegg-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A124" s="336" cm="1">
        <f t="array" ref="AA124">IF(X124=0, 0, ('Tillegg- Inndata Øvrige'!G122+'Tillegg- Inndata Øvrige'!O122+'Tillegg- Inndata Øvrige'!S122)*(1+'Tillegg- Inndata Øvrige'!K122)*Transport_utslipp_til_avfallshånderting_per_kg*IF('Tillegg-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B124" s="334" cm="1">
        <f t="array" ref="AB124">IF(X124=0, 0,1.833*'Tillegg- Inndata Øvrige'!J122*('Tillegg- Inndata Øvrige'!X122*_xlfn.XLOOKUP(IF('Tillegg- Inndata Øvrige'!I122&lt;2,'Tillegg- Inndata Øvrige'!H122,'Tillegg- Inndata Øvrige'!H122*2), År_etter_ferdigstillelse, Faktorer!$Z$7:$Z$58))*('Tillegg- Inndata Øvrige'!L122*0.5+'Tillegg- Inndata Øvrige'!M122*0.8)*_xlfn.XLOOKUP(IF('Tillegg- Inndata Øvrige'!I122&lt;2,'Tillegg- Inndata Øvrige'!H122,'Tillegg- Inndata Øvrige'!H122*2), År_etter_ferdigstillelse,  IF(LEFT('Tillegg- Inndata Øvrige'!B122, 2)= 49, f_tid_x_f_tek_d_0_037, f_tid_x_f_tek_d_0_01)))</f>
        <v>0</v>
      </c>
      <c r="AC124" s="335">
        <f>IF(('Tillegg- Inndata Øvrige'!G122) = 0, 0,('Tillegg- Inndata Øvrige'!G122*((AG124+AI124)*Transport_utslipp_til_avfallshånderting_per_kg)+('Tillegg- Inndata Øvrige'!Z122*'ZERO-B Beregning'!D224)*IF('ZERO-B Beregning'!F225=0,'ZERO-B Beregning'!D225,'ZERO-B Beregning'!F225))*_xlfn.XLOOKUP(51, År_etter_ferdigstillelse, f_tid_x_f_tek_d_0_01))</f>
        <v>0</v>
      </c>
      <c r="AD124" s="337">
        <f>IF(('Tillegg- Inndata Øvrige'!G122) = 0, 0,1.833*('Tillegg- Inndata Øvrige'!G122*('Tillegg- Inndata Øvrige'!L122*0.5+'Tillegg- Inndata Øvrige'!M122*0.8)*AG124*_xlfn.XLOOKUP(51, År_etter_ferdigstillelse,  f_tid_x_f_tek_d_0_01)))</f>
        <v>0</v>
      </c>
      <c r="AE124" s="333" cm="1">
        <f t="array" ref="AE124">IF(('Tillegg- Inndata Øvrige'!G122) = 0, 0,-0.8*('Tillegg- Inndata Øvrige'!G122)*AH124*('Tillegg- Inndata Øvrige'!E122/'Tillegg- Inndata Øvrige'!G122)*_xlfn.XLOOKUP(51, År_etter_ferdigstillelse,  IF(LEFT('Tillegg- Inndata Øvrige'!B122, 2)= 49, f_tid_x_f_tek_d_0_037, f_tid_x_f_tek_d_0_01)))</f>
        <v>0</v>
      </c>
      <c r="AF124" s="338" cm="1">
        <f t="array" ref="AF124">IF(('Tillegg- Inndata Øvrige'!G122) = 0, 0,-0.1*('Tillegg- Inndata Øvrige'!G122)*AI124*('Tillegg- Inndata Øvrige'!E122/'Tillegg- Inndata Øvrige'!G122)*_xlfn.XLOOKUP(51, År_etter_ferdigstillelse,  IF(LEFT('Tillegg- Inndata Øvrige'!B122, 2)= 49, f_tid_x_f_tek_d_0_037, f_tid_x_f_tek_d_0_01)))</f>
        <v>0</v>
      </c>
      <c r="AG124" s="572">
        <f>IF(('Tillegg- Inndata Øvrige'!G122) = 0, 0,'Tillegg- Inndata Øvrige'!X122*Faktorer!$Z$58)</f>
        <v>0</v>
      </c>
      <c r="AH124" s="573">
        <f>IF(('Tillegg- Inndata Øvrige'!G122) = 0, 0,'Tillegg- Inndata Øvrige'!Z122+('Tillegg- Inndata Øvrige'!X122+'Tillegg- Inndata Øvrige'!Y122)*(1-Faktorer!$Z$58)*0.5)</f>
        <v>0</v>
      </c>
      <c r="AI124" s="574">
        <f>IF(('Tillegg- Inndata Øvrige'!G122) = 0, 0,'Tillegg- Inndata Øvrige'!AA122+('Tillegg- Inndata Øvrige'!X122+'Tillegg- Inndata Øvrige'!Y122)*(1-Faktorer!$Z$58)*0.5)</f>
        <v>0</v>
      </c>
      <c r="AK124" s="90">
        <f t="shared" si="2"/>
        <v>0</v>
      </c>
      <c r="AL124" s="91">
        <f>'Tillegg- Res. Det. Øvrige'!N124</f>
        <v>0</v>
      </c>
      <c r="AM124" s="91" t="str">
        <f>IF(F124=0,"",('Tillegg- Inndata Øvrige'!E124+'Tillegg- Inndata Øvrige'!F124)*ROUNDDOWN('Tillegg- Inndata Øvrige'!I124,0)*(1+'Tillegg- Inndata Øvrige'!K124))</f>
        <v/>
      </c>
      <c r="AO124" s="1"/>
    </row>
    <row r="125" spans="2:41">
      <c r="B125" s="327">
        <f>'Tillegg- Inndata Øvrige'!B123</f>
        <v>0</v>
      </c>
      <c r="C125" s="327">
        <f>'Tillegg- Inndata Øvrige'!C123</f>
        <v>0</v>
      </c>
      <c r="D125" s="327">
        <f>'Tillegg- Inndata Øvrige'!D123</f>
        <v>0</v>
      </c>
      <c r="E125" s="421" cm="1">
        <f t="array" ref="E125">SUM(IFERROR(F125:AF125,0))</f>
        <v>0</v>
      </c>
      <c r="F125" s="330">
        <f>'Tillegg- Inndata Øvrige'!E123</f>
        <v>0</v>
      </c>
      <c r="G125" s="330">
        <f>IF('Tillegg- Inndata Øvrige'!AB123="Ja", -0.8*$F125, 0)</f>
        <v>0</v>
      </c>
      <c r="H125" s="330">
        <f>IF('Tillegg- Inndata Øvrige'!AC123="Ja", -0.4*$F125, 0)</f>
        <v>0</v>
      </c>
      <c r="I125" s="330">
        <f>IF('Tillegg- Inndata Øvrige'!AD123="Ja", -1*$F125, 0)</f>
        <v>0</v>
      </c>
      <c r="J125" s="330">
        <f>'Tillegg- Inndata Øvrige'!O123*'Tillegg- Inndata Øvrige'!P123</f>
        <v>0</v>
      </c>
      <c r="K125" s="330">
        <f>MAX(-0.75*(SUM('Tillegg- Res. Det. Øvrige'!F125:J125)),-'Tillegg- Inndata Øvrige'!O123*'Tillegg- Inndata Øvrige'!Q123)</f>
        <v>0</v>
      </c>
      <c r="L125" s="330">
        <f>'Tillegg- Inndata Øvrige'!S123*'Tillegg- Inndata Øvrige'!T123</f>
        <v>0</v>
      </c>
      <c r="M125" s="330">
        <f>MAX(-0.75*(SUM('Tillegg- Res. Det. Øvrige'!F125:I125,L125)),-'Tillegg- Inndata Øvrige'!S123*'Tillegg- Inndata Øvrige'!U123)</f>
        <v>0</v>
      </c>
      <c r="N125" s="331">
        <f>'Tillegg- Inndata Øvrige'!F123</f>
        <v>0</v>
      </c>
      <c r="O125" s="330">
        <f>'Tillegg- Inndata Øvrige'!O123*'Tillegg- Inndata Øvrige'!R123</f>
        <v>0</v>
      </c>
      <c r="P125" s="332">
        <f>'Tillegg- Inndata Øvrige'!S123*'Tillegg- Inndata Øvrige'!V123</f>
        <v>0</v>
      </c>
      <c r="Q125" s="333">
        <f>SUM(F125:J125,L125)*'Tillegg- Inndata Øvrige'!K123</f>
        <v>0</v>
      </c>
      <c r="R125" s="333">
        <f>(K125+M125)*'Tillegg- Inndata Øvrige'!K123</f>
        <v>0</v>
      </c>
      <c r="S125" s="333">
        <f>SUM(N125:P125)*'Tillegg- Inndata Øvrige'!K123</f>
        <v>0</v>
      </c>
      <c r="T125" s="334">
        <f>('Tillegg- Inndata Øvrige'!G123+'Tillegg- Inndata Øvrige'!O123+'Tillegg- Inndata Øvrige'!S123)*'Tillegg- Inndata Øvrige'!K123*Transport_utslipp_til_avfallshånderting_per_kg</f>
        <v>0</v>
      </c>
      <c r="U125" s="330">
        <f>IF('Tillegg- Inndata Øvrige'!E123 = 0, 0, 1.833*'Tillegg- Inndata Øvrige'!X123*'Tillegg- Inndata Øvrige'!K123*('Tillegg- Inndata Øvrige'!G123*('Tillegg- Inndata Øvrige'!L123*0.5+'Tillegg- Inndata Øvrige'!M123*0.8) + (12/44)*('Tillegg- Inndata Øvrige'!O123*'Tillegg- Inndata Øvrige'!Q123+'Tillegg- Inndata Øvrige'!S123*'Tillegg- Inndata Øvrige'!U123)))</f>
        <v>0</v>
      </c>
      <c r="V125" s="335">
        <f>IF('Tillegg- Inndata Øvrige'!G123 = 0, 0,  MAX(-SUM(F125:J125,L125)*'Tillegg- Inndata Øvrige'!L123, -0.114*IF('Tillegg- Inndata Øvrige'!H123 &gt; 49, _xlfn.XLOOKUP(49, År_etter_ferdigstillelse, karbon_opptak_faktor), _xlfn.XLOOKUP('Tillegg- Inndata Øvrige'!H123, År_etter_ferdigstillelse, karbon_opptak_faktor))*'Tillegg- Inndata Øvrige'!G123*'Tillegg- Inndata Øvrige'!L123*0.5))</f>
        <v>0</v>
      </c>
      <c r="W125" s="333">
        <f>IF('Tillegg- Inndata Øvrige'!G123=0,0,IF('Tillegg- Inndata Øvrige'!H123&gt;49,-0.064*'Tillegg- Inndata Øvrige'!G123*'Tillegg- Inndata Øvrige'!N123,-0.037*'Tillegg- Inndata Øvrige'!J123*'Tillegg- Inndata Øvrige'!N123))</f>
        <v>0</v>
      </c>
      <c r="X125" s="331" cm="1">
        <f t="array" ref="X125">IF(SUM(F125:J125,L125)=0, 0, SUM(F125:J125,L125)*(1+'Tillegg-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Y125" s="330" cm="1">
        <f t="array" ref="Y125">IF(X125=0, 0, SUM(K125,M125)*(1+'Tillegg-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Z125" s="336" cm="1">
        <f t="array" ref="Z125">IF(X125=0, 0, SUM(N125:P125)*(1+'Tillegg-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A125" s="336" cm="1">
        <f t="array" ref="AA125">IF(X125=0, 0, ('Tillegg- Inndata Øvrige'!G123+'Tillegg- Inndata Øvrige'!O123+'Tillegg- Inndata Øvrige'!S123)*(1+'Tillegg- Inndata Øvrige'!K123)*Transport_utslipp_til_avfallshånderting_per_kg*IF('Tillegg-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B125" s="334" cm="1">
        <f t="array" ref="AB125">IF(X125=0, 0,1.833*'Tillegg- Inndata Øvrige'!J123*('Tillegg- Inndata Øvrige'!X123*_xlfn.XLOOKUP(IF('Tillegg- Inndata Øvrige'!I123&lt;2,'Tillegg- Inndata Øvrige'!H123,'Tillegg- Inndata Øvrige'!H123*2), År_etter_ferdigstillelse, Faktorer!$Z$7:$Z$58))*('Tillegg- Inndata Øvrige'!L123*0.5+'Tillegg- Inndata Øvrige'!M123*0.8)*_xlfn.XLOOKUP(IF('Tillegg- Inndata Øvrige'!I123&lt;2,'Tillegg- Inndata Øvrige'!H123,'Tillegg- Inndata Øvrige'!H123*2), År_etter_ferdigstillelse,  IF(LEFT('Tillegg- Inndata Øvrige'!B123, 2)= 49, f_tid_x_f_tek_d_0_037, f_tid_x_f_tek_d_0_01)))</f>
        <v>0</v>
      </c>
      <c r="AC125" s="335">
        <f>IF(('Tillegg- Inndata Øvrige'!G123) = 0, 0,('Tillegg- Inndata Øvrige'!G123*((AG125+AI125)*Transport_utslipp_til_avfallshånderting_per_kg)+('Tillegg- Inndata Øvrige'!Z123*'ZERO-B Beregning'!D225)*IF('ZERO-B Beregning'!F226=0,'ZERO-B Beregning'!D226,'ZERO-B Beregning'!F226))*_xlfn.XLOOKUP(51, År_etter_ferdigstillelse, f_tid_x_f_tek_d_0_01))</f>
        <v>0</v>
      </c>
      <c r="AD125" s="337">
        <f>IF(('Tillegg- Inndata Øvrige'!G123) = 0, 0,1.833*('Tillegg- Inndata Øvrige'!G123*('Tillegg- Inndata Øvrige'!L123*0.5+'Tillegg- Inndata Øvrige'!M123*0.8)*AG125*_xlfn.XLOOKUP(51, År_etter_ferdigstillelse,  f_tid_x_f_tek_d_0_01)))</f>
        <v>0</v>
      </c>
      <c r="AE125" s="333" cm="1">
        <f t="array" ref="AE125">IF(('Tillegg- Inndata Øvrige'!G123) = 0, 0,-0.8*('Tillegg- Inndata Øvrige'!G123)*AH125*('Tillegg- Inndata Øvrige'!E123/'Tillegg- Inndata Øvrige'!G123)*_xlfn.XLOOKUP(51, År_etter_ferdigstillelse,  IF(LEFT('Tillegg- Inndata Øvrige'!B123, 2)= 49, f_tid_x_f_tek_d_0_037, f_tid_x_f_tek_d_0_01)))</f>
        <v>0</v>
      </c>
      <c r="AF125" s="338" cm="1">
        <f t="array" ref="AF125">IF(('Tillegg- Inndata Øvrige'!G123) = 0, 0,-0.1*('Tillegg- Inndata Øvrige'!G123)*AI125*('Tillegg- Inndata Øvrige'!E123/'Tillegg- Inndata Øvrige'!G123)*_xlfn.XLOOKUP(51, År_etter_ferdigstillelse,  IF(LEFT('Tillegg- Inndata Øvrige'!B123, 2)= 49, f_tid_x_f_tek_d_0_037, f_tid_x_f_tek_d_0_01)))</f>
        <v>0</v>
      </c>
      <c r="AG125" s="572">
        <f>IF(('Tillegg- Inndata Øvrige'!G123) = 0, 0,'Tillegg- Inndata Øvrige'!X123*Faktorer!$Z$58)</f>
        <v>0</v>
      </c>
      <c r="AH125" s="573">
        <f>IF(('Tillegg- Inndata Øvrige'!G123) = 0, 0,'Tillegg- Inndata Øvrige'!Z123+('Tillegg- Inndata Øvrige'!X123+'Tillegg- Inndata Øvrige'!Y123)*(1-Faktorer!$Z$58)*0.5)</f>
        <v>0</v>
      </c>
      <c r="AI125" s="574">
        <f>IF(('Tillegg- Inndata Øvrige'!G123) = 0, 0,'Tillegg- Inndata Øvrige'!AA123+('Tillegg- Inndata Øvrige'!X123+'Tillegg- Inndata Øvrige'!Y123)*(1-Faktorer!$Z$58)*0.5)</f>
        <v>0</v>
      </c>
      <c r="AK125" s="90">
        <f t="shared" si="2"/>
        <v>0</v>
      </c>
      <c r="AL125" s="91">
        <f>'Tillegg- Res. Det. Øvrige'!N125</f>
        <v>0</v>
      </c>
      <c r="AM125" s="91" t="str">
        <f>IF(F125=0,"",('Tillegg- Inndata Øvrige'!E125+'Tillegg- Inndata Øvrige'!F125)*ROUNDDOWN('Tillegg- Inndata Øvrige'!I125,0)*(1+'Tillegg- Inndata Øvrige'!K125))</f>
        <v/>
      </c>
      <c r="AO125" s="1"/>
    </row>
    <row r="126" spans="2:41">
      <c r="B126" s="327">
        <f>'Tillegg- Inndata Øvrige'!B124</f>
        <v>0</v>
      </c>
      <c r="C126" s="327">
        <f>'Tillegg- Inndata Øvrige'!C124</f>
        <v>0</v>
      </c>
      <c r="D126" s="327">
        <f>'Tillegg- Inndata Øvrige'!D124</f>
        <v>0</v>
      </c>
      <c r="E126" s="421" cm="1">
        <f t="array" ref="E126">SUM(IFERROR(F126:AF126,0))</f>
        <v>0</v>
      </c>
      <c r="F126" s="330">
        <f>'Tillegg- Inndata Øvrige'!E124</f>
        <v>0</v>
      </c>
      <c r="G126" s="330">
        <f>IF('Tillegg- Inndata Øvrige'!AB124="Ja", -0.8*$F126, 0)</f>
        <v>0</v>
      </c>
      <c r="H126" s="330">
        <f>IF('Tillegg- Inndata Øvrige'!AC124="Ja", -0.4*$F126, 0)</f>
        <v>0</v>
      </c>
      <c r="I126" s="330">
        <f>IF('Tillegg- Inndata Øvrige'!AD124="Ja", -1*$F126, 0)</f>
        <v>0</v>
      </c>
      <c r="J126" s="330">
        <f>'Tillegg- Inndata Øvrige'!O124*'Tillegg- Inndata Øvrige'!P124</f>
        <v>0</v>
      </c>
      <c r="K126" s="330">
        <f>MAX(-0.75*(SUM('Tillegg- Res. Det. Øvrige'!F126:J126)),-'Tillegg- Inndata Øvrige'!O124*'Tillegg- Inndata Øvrige'!Q124)</f>
        <v>0</v>
      </c>
      <c r="L126" s="330">
        <f>'Tillegg- Inndata Øvrige'!S124*'Tillegg- Inndata Øvrige'!T124</f>
        <v>0</v>
      </c>
      <c r="M126" s="330">
        <f>MAX(-0.75*(SUM('Tillegg- Res. Det. Øvrige'!F126:I126,L126)),-'Tillegg- Inndata Øvrige'!S124*'Tillegg- Inndata Øvrige'!U124)</f>
        <v>0</v>
      </c>
      <c r="N126" s="331">
        <f>'Tillegg- Inndata Øvrige'!F124</f>
        <v>0</v>
      </c>
      <c r="O126" s="330">
        <f>'Tillegg- Inndata Øvrige'!O124*'Tillegg- Inndata Øvrige'!R124</f>
        <v>0</v>
      </c>
      <c r="P126" s="332">
        <f>'Tillegg- Inndata Øvrige'!S124*'Tillegg- Inndata Øvrige'!V124</f>
        <v>0</v>
      </c>
      <c r="Q126" s="333">
        <f>SUM(F126:J126,L126)*'Tillegg- Inndata Øvrige'!K124</f>
        <v>0</v>
      </c>
      <c r="R126" s="333">
        <f>(K126+M126)*'Tillegg- Inndata Øvrige'!K124</f>
        <v>0</v>
      </c>
      <c r="S126" s="333">
        <f>SUM(N126:P126)*'Tillegg- Inndata Øvrige'!K124</f>
        <v>0</v>
      </c>
      <c r="T126" s="334">
        <f>('Tillegg- Inndata Øvrige'!G124+'Tillegg- Inndata Øvrige'!O124+'Tillegg- Inndata Øvrige'!S124)*'Tillegg- Inndata Øvrige'!K124*Transport_utslipp_til_avfallshånderting_per_kg</f>
        <v>0</v>
      </c>
      <c r="U126" s="330">
        <f>IF('Tillegg- Inndata Øvrige'!E124 = 0, 0, 1.833*'Tillegg- Inndata Øvrige'!X124*'Tillegg- Inndata Øvrige'!K124*('Tillegg- Inndata Øvrige'!G124*('Tillegg- Inndata Øvrige'!L124*0.5+'Tillegg- Inndata Øvrige'!M124*0.8) + (12/44)*('Tillegg- Inndata Øvrige'!O124*'Tillegg- Inndata Øvrige'!Q124+'Tillegg- Inndata Øvrige'!S124*'Tillegg- Inndata Øvrige'!U124)))</f>
        <v>0</v>
      </c>
      <c r="V126" s="335">
        <f>IF('Tillegg- Inndata Øvrige'!G124 = 0, 0,  MAX(-SUM(F126:J126,L126)*'Tillegg- Inndata Øvrige'!L124, -0.114*IF('Tillegg- Inndata Øvrige'!H124 &gt; 49, _xlfn.XLOOKUP(49, År_etter_ferdigstillelse, karbon_opptak_faktor), _xlfn.XLOOKUP('Tillegg- Inndata Øvrige'!H124, År_etter_ferdigstillelse, karbon_opptak_faktor))*'Tillegg- Inndata Øvrige'!G124*'Tillegg- Inndata Øvrige'!L124*0.5))</f>
        <v>0</v>
      </c>
      <c r="W126" s="333">
        <f>IF('Tillegg- Inndata Øvrige'!G124=0,0,IF('Tillegg- Inndata Øvrige'!H124&gt;49,-0.064*'Tillegg- Inndata Øvrige'!G124*'Tillegg- Inndata Øvrige'!N124,-0.037*'Tillegg- Inndata Øvrige'!J124*'Tillegg- Inndata Øvrige'!N124))</f>
        <v>0</v>
      </c>
      <c r="X126" s="331" cm="1">
        <f t="array" ref="X126">IF(SUM(F126:J126,L126)=0, 0, SUM(F126:J126,L126)*(1+'Tillegg-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Y126" s="330" cm="1">
        <f t="array" ref="Y126">IF(X126=0, 0, SUM(K126,M126)*(1+'Tillegg-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Z126" s="336" cm="1">
        <f t="array" ref="Z126">IF(X126=0, 0, SUM(N126:P126)*(1+'Tillegg-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A126" s="336" cm="1">
        <f t="array" ref="AA126">IF(X126=0, 0, ('Tillegg- Inndata Øvrige'!G124+'Tillegg- Inndata Øvrige'!O124+'Tillegg- Inndata Øvrige'!S124)*(1+'Tillegg- Inndata Øvrige'!K124)*Transport_utslipp_til_avfallshånderting_per_kg*IF('Tillegg-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B126" s="334" cm="1">
        <f t="array" ref="AB126">IF(X126=0, 0,1.833*'Tillegg- Inndata Øvrige'!J124*('Tillegg- Inndata Øvrige'!X124*_xlfn.XLOOKUP(IF('Tillegg- Inndata Øvrige'!I124&lt;2,'Tillegg- Inndata Øvrige'!H124,'Tillegg- Inndata Øvrige'!H124*2), År_etter_ferdigstillelse, Faktorer!$Z$7:$Z$58))*('Tillegg- Inndata Øvrige'!L124*0.5+'Tillegg- Inndata Øvrige'!M124*0.8)*_xlfn.XLOOKUP(IF('Tillegg- Inndata Øvrige'!I124&lt;2,'Tillegg- Inndata Øvrige'!H124,'Tillegg- Inndata Øvrige'!H124*2), År_etter_ferdigstillelse,  IF(LEFT('Tillegg- Inndata Øvrige'!B124, 2)= 49, f_tid_x_f_tek_d_0_037, f_tid_x_f_tek_d_0_01)))</f>
        <v>0</v>
      </c>
      <c r="AC126" s="335">
        <f>IF(('Tillegg- Inndata Øvrige'!G124) = 0, 0,('Tillegg- Inndata Øvrige'!G124*((AG126+AI126)*Transport_utslipp_til_avfallshånderting_per_kg)+('Tillegg- Inndata Øvrige'!Z124*'ZERO-B Beregning'!D226)*IF('ZERO-B Beregning'!F227=0,'ZERO-B Beregning'!D227,'ZERO-B Beregning'!F227))*_xlfn.XLOOKUP(51, År_etter_ferdigstillelse, f_tid_x_f_tek_d_0_01))</f>
        <v>0</v>
      </c>
      <c r="AD126" s="337">
        <f>IF(('Tillegg- Inndata Øvrige'!G124) = 0, 0,1.833*('Tillegg- Inndata Øvrige'!G124*('Tillegg- Inndata Øvrige'!L124*0.5+'Tillegg- Inndata Øvrige'!M124*0.8)*AG126*_xlfn.XLOOKUP(51, År_etter_ferdigstillelse,  f_tid_x_f_tek_d_0_01)))</f>
        <v>0</v>
      </c>
      <c r="AE126" s="333" cm="1">
        <f t="array" ref="AE126">IF(('Tillegg- Inndata Øvrige'!G124) = 0, 0,-0.8*('Tillegg- Inndata Øvrige'!G124)*AH126*('Tillegg- Inndata Øvrige'!E124/'Tillegg- Inndata Øvrige'!G124)*_xlfn.XLOOKUP(51, År_etter_ferdigstillelse,  IF(LEFT('Tillegg- Inndata Øvrige'!B124, 2)= 49, f_tid_x_f_tek_d_0_037, f_tid_x_f_tek_d_0_01)))</f>
        <v>0</v>
      </c>
      <c r="AF126" s="338" cm="1">
        <f t="array" ref="AF126">IF(('Tillegg- Inndata Øvrige'!G124) = 0, 0,-0.1*('Tillegg- Inndata Øvrige'!G124)*AI126*('Tillegg- Inndata Øvrige'!E124/'Tillegg- Inndata Øvrige'!G124)*_xlfn.XLOOKUP(51, År_etter_ferdigstillelse,  IF(LEFT('Tillegg- Inndata Øvrige'!B124, 2)= 49, f_tid_x_f_tek_d_0_037, f_tid_x_f_tek_d_0_01)))</f>
        <v>0</v>
      </c>
      <c r="AG126" s="572">
        <f>IF(('Tillegg- Inndata Øvrige'!G124) = 0, 0,'Tillegg- Inndata Øvrige'!X124*Faktorer!$Z$58)</f>
        <v>0</v>
      </c>
      <c r="AH126" s="573">
        <f>IF(('Tillegg- Inndata Øvrige'!G124) = 0, 0,'Tillegg- Inndata Øvrige'!Z124+('Tillegg- Inndata Øvrige'!X124+'Tillegg- Inndata Øvrige'!Y124)*(1-Faktorer!$Z$58)*0.5)</f>
        <v>0</v>
      </c>
      <c r="AI126" s="574">
        <f>IF(('Tillegg- Inndata Øvrige'!G124) = 0, 0,'Tillegg- Inndata Øvrige'!AA124+('Tillegg- Inndata Øvrige'!X124+'Tillegg- Inndata Øvrige'!Y124)*(1-Faktorer!$Z$58)*0.5)</f>
        <v>0</v>
      </c>
      <c r="AK126" s="90">
        <f t="shared" si="2"/>
        <v>0</v>
      </c>
      <c r="AL126" s="91">
        <f>'Tillegg- Res. Det. Øvrige'!N126</f>
        <v>0</v>
      </c>
      <c r="AM126" s="91" t="str">
        <f>IF(F126=0,"",('Tillegg- Inndata Øvrige'!E126+'Tillegg- Inndata Øvrige'!F126)*ROUNDDOWN('Tillegg- Inndata Øvrige'!I126,0)*(1+'Tillegg- Inndata Øvrige'!K126))</f>
        <v/>
      </c>
      <c r="AO126" s="1"/>
    </row>
    <row r="127" spans="2:41">
      <c r="B127" s="327">
        <f>'Tillegg- Inndata Øvrige'!B125</f>
        <v>0</v>
      </c>
      <c r="C127" s="327">
        <f>'Tillegg- Inndata Øvrige'!C125</f>
        <v>0</v>
      </c>
      <c r="D127" s="327">
        <f>'Tillegg- Inndata Øvrige'!D125</f>
        <v>0</v>
      </c>
      <c r="E127" s="421" cm="1">
        <f t="array" ref="E127">SUM(IFERROR(F127:AF127,0))</f>
        <v>0</v>
      </c>
      <c r="F127" s="330">
        <f>'Tillegg- Inndata Øvrige'!E125</f>
        <v>0</v>
      </c>
      <c r="G127" s="330">
        <f>IF('Tillegg- Inndata Øvrige'!AB125="Ja", -0.8*$F127, 0)</f>
        <v>0</v>
      </c>
      <c r="H127" s="330">
        <f>IF('Tillegg- Inndata Øvrige'!AC125="Ja", -0.4*$F127, 0)</f>
        <v>0</v>
      </c>
      <c r="I127" s="330">
        <f>IF('Tillegg- Inndata Øvrige'!AD125="Ja", -1*$F127, 0)</f>
        <v>0</v>
      </c>
      <c r="J127" s="330">
        <f>'Tillegg- Inndata Øvrige'!O125*'Tillegg- Inndata Øvrige'!P125</f>
        <v>0</v>
      </c>
      <c r="K127" s="330">
        <f>MAX(-0.75*(SUM('Tillegg- Res. Det. Øvrige'!F127:J127)),-'Tillegg- Inndata Øvrige'!O125*'Tillegg- Inndata Øvrige'!Q125)</f>
        <v>0</v>
      </c>
      <c r="L127" s="330">
        <f>'Tillegg- Inndata Øvrige'!S125*'Tillegg- Inndata Øvrige'!T125</f>
        <v>0</v>
      </c>
      <c r="M127" s="330">
        <f>MAX(-0.75*(SUM('Tillegg- Res. Det. Øvrige'!F127:I127,L127)),-'Tillegg- Inndata Øvrige'!S125*'Tillegg- Inndata Øvrige'!U125)</f>
        <v>0</v>
      </c>
      <c r="N127" s="331">
        <f>'Tillegg- Inndata Øvrige'!F125</f>
        <v>0</v>
      </c>
      <c r="O127" s="330">
        <f>'Tillegg- Inndata Øvrige'!O125*'Tillegg- Inndata Øvrige'!R125</f>
        <v>0</v>
      </c>
      <c r="P127" s="332">
        <f>'Tillegg- Inndata Øvrige'!S125*'Tillegg- Inndata Øvrige'!V125</f>
        <v>0</v>
      </c>
      <c r="Q127" s="333">
        <f>SUM(F127:J127,L127)*'Tillegg- Inndata Øvrige'!K125</f>
        <v>0</v>
      </c>
      <c r="R127" s="333">
        <f>(K127+M127)*'Tillegg- Inndata Øvrige'!K125</f>
        <v>0</v>
      </c>
      <c r="S127" s="333">
        <f>SUM(N127:P127)*'Tillegg- Inndata Øvrige'!K125</f>
        <v>0</v>
      </c>
      <c r="T127" s="334">
        <f>('Tillegg- Inndata Øvrige'!G125+'Tillegg- Inndata Øvrige'!O125+'Tillegg- Inndata Øvrige'!S125)*'Tillegg- Inndata Øvrige'!K125*Transport_utslipp_til_avfallshånderting_per_kg</f>
        <v>0</v>
      </c>
      <c r="U127" s="330">
        <f>IF('Tillegg- Inndata Øvrige'!E125 = 0, 0, 1.833*'Tillegg- Inndata Øvrige'!X125*'Tillegg- Inndata Øvrige'!K125*('Tillegg- Inndata Øvrige'!G125*('Tillegg- Inndata Øvrige'!L125*0.5+'Tillegg- Inndata Øvrige'!M125*0.8) + (12/44)*('Tillegg- Inndata Øvrige'!O125*'Tillegg- Inndata Øvrige'!Q125+'Tillegg- Inndata Øvrige'!S125*'Tillegg- Inndata Øvrige'!U125)))</f>
        <v>0</v>
      </c>
      <c r="V127" s="335">
        <f>IF('Tillegg- Inndata Øvrige'!G125 = 0, 0,  MAX(-SUM(F127:J127,L127)*'Tillegg- Inndata Øvrige'!L125, -0.114*IF('Tillegg- Inndata Øvrige'!H125 &gt; 49, _xlfn.XLOOKUP(49, År_etter_ferdigstillelse, karbon_opptak_faktor), _xlfn.XLOOKUP('Tillegg- Inndata Øvrige'!H125, År_etter_ferdigstillelse, karbon_opptak_faktor))*'Tillegg- Inndata Øvrige'!G125*'Tillegg- Inndata Øvrige'!L125*0.5))</f>
        <v>0</v>
      </c>
      <c r="W127" s="333">
        <f>IF('Tillegg- Inndata Øvrige'!G125=0,0,IF('Tillegg- Inndata Øvrige'!H125&gt;49,-0.064*'Tillegg- Inndata Øvrige'!G125*'Tillegg- Inndata Øvrige'!N125,-0.037*'Tillegg- Inndata Øvrige'!J125*'Tillegg- Inndata Øvrige'!N125))</f>
        <v>0</v>
      </c>
      <c r="X127" s="331" cm="1">
        <f t="array" ref="X127">IF(SUM(F127:J127,L127)=0, 0, SUM(F127:J127,L127)*(1+'Tillegg-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Y127" s="330" cm="1">
        <f t="array" ref="Y127">IF(X127=0, 0, SUM(K127,M127)*(1+'Tillegg-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Z127" s="336" cm="1">
        <f t="array" ref="Z127">IF(X127=0, 0, SUM(N127:P127)*(1+'Tillegg-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A127" s="336" cm="1">
        <f t="array" ref="AA127">IF(X127=0, 0, ('Tillegg- Inndata Øvrige'!G125+'Tillegg- Inndata Øvrige'!O125+'Tillegg- Inndata Øvrige'!S125)*(1+'Tillegg- Inndata Øvrige'!K125)*Transport_utslipp_til_avfallshånderting_per_kg*IF('Tillegg-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B127" s="334" cm="1">
        <f t="array" ref="AB127">IF(X127=0, 0,1.833*'Tillegg- Inndata Øvrige'!J125*('Tillegg- Inndata Øvrige'!X125*_xlfn.XLOOKUP(IF('Tillegg- Inndata Øvrige'!I125&lt;2,'Tillegg- Inndata Øvrige'!H125,'Tillegg- Inndata Øvrige'!H125*2), År_etter_ferdigstillelse, Faktorer!$Z$7:$Z$58))*('Tillegg- Inndata Øvrige'!L125*0.5+'Tillegg- Inndata Øvrige'!M125*0.8)*_xlfn.XLOOKUP(IF('Tillegg- Inndata Øvrige'!I125&lt;2,'Tillegg- Inndata Øvrige'!H125,'Tillegg- Inndata Øvrige'!H125*2), År_etter_ferdigstillelse,  IF(LEFT('Tillegg- Inndata Øvrige'!B125, 2)= 49, f_tid_x_f_tek_d_0_037, f_tid_x_f_tek_d_0_01)))</f>
        <v>0</v>
      </c>
      <c r="AC127" s="335">
        <f>IF(('Tillegg- Inndata Øvrige'!G125) = 0, 0,('Tillegg- Inndata Øvrige'!G125*((AG127+AI127)*Transport_utslipp_til_avfallshånderting_per_kg)+('Tillegg- Inndata Øvrige'!Z125*'ZERO-B Beregning'!D227)*IF('ZERO-B Beregning'!F228=0,'ZERO-B Beregning'!D228,'ZERO-B Beregning'!F228))*_xlfn.XLOOKUP(51, År_etter_ferdigstillelse, f_tid_x_f_tek_d_0_01))</f>
        <v>0</v>
      </c>
      <c r="AD127" s="337">
        <f>IF(('Tillegg- Inndata Øvrige'!G125) = 0, 0,1.833*('Tillegg- Inndata Øvrige'!G125*('Tillegg- Inndata Øvrige'!L125*0.5+'Tillegg- Inndata Øvrige'!M125*0.8)*AG127*_xlfn.XLOOKUP(51, År_etter_ferdigstillelse,  f_tid_x_f_tek_d_0_01)))</f>
        <v>0</v>
      </c>
      <c r="AE127" s="333" cm="1">
        <f t="array" ref="AE127">IF(('Tillegg- Inndata Øvrige'!G125) = 0, 0,-0.8*('Tillegg- Inndata Øvrige'!G125)*AH127*('Tillegg- Inndata Øvrige'!E125/'Tillegg- Inndata Øvrige'!G125)*_xlfn.XLOOKUP(51, År_etter_ferdigstillelse,  IF(LEFT('Tillegg- Inndata Øvrige'!B125, 2)= 49, f_tid_x_f_tek_d_0_037, f_tid_x_f_tek_d_0_01)))</f>
        <v>0</v>
      </c>
      <c r="AF127" s="338" cm="1">
        <f t="array" ref="AF127">IF(('Tillegg- Inndata Øvrige'!G125) = 0, 0,-0.1*('Tillegg- Inndata Øvrige'!G125)*AI127*('Tillegg- Inndata Øvrige'!E125/'Tillegg- Inndata Øvrige'!G125)*_xlfn.XLOOKUP(51, År_etter_ferdigstillelse,  IF(LEFT('Tillegg- Inndata Øvrige'!B125, 2)= 49, f_tid_x_f_tek_d_0_037, f_tid_x_f_tek_d_0_01)))</f>
        <v>0</v>
      </c>
      <c r="AG127" s="572">
        <f>IF(('Tillegg- Inndata Øvrige'!G125) = 0, 0,'Tillegg- Inndata Øvrige'!X125*Faktorer!$Z$58)</f>
        <v>0</v>
      </c>
      <c r="AH127" s="573">
        <f>IF(('Tillegg- Inndata Øvrige'!G125) = 0, 0,'Tillegg- Inndata Øvrige'!Z125+('Tillegg- Inndata Øvrige'!X125+'Tillegg- Inndata Øvrige'!Y125)*(1-Faktorer!$Z$58)*0.5)</f>
        <v>0</v>
      </c>
      <c r="AI127" s="574">
        <f>IF(('Tillegg- Inndata Øvrige'!G125) = 0, 0,'Tillegg- Inndata Øvrige'!AA125+('Tillegg- Inndata Øvrige'!X125+'Tillegg- Inndata Øvrige'!Y125)*(1-Faktorer!$Z$58)*0.5)</f>
        <v>0</v>
      </c>
      <c r="AK127" s="90">
        <f t="shared" si="2"/>
        <v>0</v>
      </c>
      <c r="AL127" s="91">
        <f>'Tillegg- Res. Det. Øvrige'!N127</f>
        <v>0</v>
      </c>
      <c r="AM127" s="91" t="str">
        <f>IF(F127=0,"",('Tillegg- Inndata Øvrige'!E127+'Tillegg- Inndata Øvrige'!F127)*ROUNDDOWN('Tillegg- Inndata Øvrige'!I127,0)*(1+'Tillegg- Inndata Øvrige'!K127))</f>
        <v/>
      </c>
      <c r="AO127" s="1"/>
    </row>
    <row r="128" spans="2:41">
      <c r="B128" s="327">
        <f>'Tillegg- Inndata Øvrige'!B126</f>
        <v>0</v>
      </c>
      <c r="C128" s="327">
        <f>'Tillegg- Inndata Øvrige'!C126</f>
        <v>0</v>
      </c>
      <c r="D128" s="327">
        <f>'Tillegg- Inndata Øvrige'!D126</f>
        <v>0</v>
      </c>
      <c r="E128" s="421" cm="1">
        <f t="array" ref="E128">SUM(IFERROR(F128:AF128,0))</f>
        <v>0</v>
      </c>
      <c r="F128" s="330">
        <f>'Tillegg- Inndata Øvrige'!E126</f>
        <v>0</v>
      </c>
      <c r="G128" s="330">
        <f>IF('Tillegg- Inndata Øvrige'!AB126="Ja", -0.8*$F128, 0)</f>
        <v>0</v>
      </c>
      <c r="H128" s="330">
        <f>IF('Tillegg- Inndata Øvrige'!AC126="Ja", -0.4*$F128, 0)</f>
        <v>0</v>
      </c>
      <c r="I128" s="330">
        <f>IF('Tillegg- Inndata Øvrige'!AD126="Ja", -1*$F128, 0)</f>
        <v>0</v>
      </c>
      <c r="J128" s="330">
        <f>'Tillegg- Inndata Øvrige'!O126*'Tillegg- Inndata Øvrige'!P126</f>
        <v>0</v>
      </c>
      <c r="K128" s="330">
        <f>MAX(-0.75*(SUM('Tillegg- Res. Det. Øvrige'!F128:J128)),-'Tillegg- Inndata Øvrige'!O126*'Tillegg- Inndata Øvrige'!Q126)</f>
        <v>0</v>
      </c>
      <c r="L128" s="330">
        <f>'Tillegg- Inndata Øvrige'!S126*'Tillegg- Inndata Øvrige'!T126</f>
        <v>0</v>
      </c>
      <c r="M128" s="330">
        <f>MAX(-0.75*(SUM('Tillegg- Res. Det. Øvrige'!F128:I128,L128)),-'Tillegg- Inndata Øvrige'!S126*'Tillegg- Inndata Øvrige'!U126)</f>
        <v>0</v>
      </c>
      <c r="N128" s="331">
        <f>'Tillegg- Inndata Øvrige'!F126</f>
        <v>0</v>
      </c>
      <c r="O128" s="330">
        <f>'Tillegg- Inndata Øvrige'!O126*'Tillegg- Inndata Øvrige'!R126</f>
        <v>0</v>
      </c>
      <c r="P128" s="332">
        <f>'Tillegg- Inndata Øvrige'!S126*'Tillegg- Inndata Øvrige'!V126</f>
        <v>0</v>
      </c>
      <c r="Q128" s="333">
        <f>SUM(F128:J128,L128)*'Tillegg- Inndata Øvrige'!K126</f>
        <v>0</v>
      </c>
      <c r="R128" s="333">
        <f>(K128+M128)*'Tillegg- Inndata Øvrige'!K126</f>
        <v>0</v>
      </c>
      <c r="S128" s="333">
        <f>SUM(N128:P128)*'Tillegg- Inndata Øvrige'!K126</f>
        <v>0</v>
      </c>
      <c r="T128" s="334">
        <f>('Tillegg- Inndata Øvrige'!G126+'Tillegg- Inndata Øvrige'!O126+'Tillegg- Inndata Øvrige'!S126)*'Tillegg- Inndata Øvrige'!K126*Transport_utslipp_til_avfallshånderting_per_kg</f>
        <v>0</v>
      </c>
      <c r="U128" s="330">
        <f>IF('Tillegg- Inndata Øvrige'!E126 = 0, 0, 1.833*'Tillegg- Inndata Øvrige'!X126*'Tillegg- Inndata Øvrige'!K126*('Tillegg- Inndata Øvrige'!G126*('Tillegg- Inndata Øvrige'!L126*0.5+'Tillegg- Inndata Øvrige'!M126*0.8) + (12/44)*('Tillegg- Inndata Øvrige'!O126*'Tillegg- Inndata Øvrige'!Q126+'Tillegg- Inndata Øvrige'!S126*'Tillegg- Inndata Øvrige'!U126)))</f>
        <v>0</v>
      </c>
      <c r="V128" s="335">
        <f>IF('Tillegg- Inndata Øvrige'!G126 = 0, 0,  MAX(-SUM(F128:J128,L128)*'Tillegg- Inndata Øvrige'!L126, -0.114*IF('Tillegg- Inndata Øvrige'!H126 &gt; 49, _xlfn.XLOOKUP(49, År_etter_ferdigstillelse, karbon_opptak_faktor), _xlfn.XLOOKUP('Tillegg- Inndata Øvrige'!H126, År_etter_ferdigstillelse, karbon_opptak_faktor))*'Tillegg- Inndata Øvrige'!G126*'Tillegg- Inndata Øvrige'!L126*0.5))</f>
        <v>0</v>
      </c>
      <c r="W128" s="333">
        <f>IF('Tillegg- Inndata Øvrige'!G126=0,0,IF('Tillegg- Inndata Øvrige'!H126&gt;49,-0.064*'Tillegg- Inndata Øvrige'!G126*'Tillegg- Inndata Øvrige'!N126,-0.037*'Tillegg- Inndata Øvrige'!J126*'Tillegg- Inndata Øvrige'!N126))</f>
        <v>0</v>
      </c>
      <c r="X128" s="331" cm="1">
        <f t="array" ref="X128">IF(SUM(F128:J128,L128)=0, 0, SUM(F128:J128,L128)*(1+'Tillegg-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Y128" s="330" cm="1">
        <f t="array" ref="Y128">IF(X128=0, 0, SUM(K128,M128)*(1+'Tillegg-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Z128" s="336" cm="1">
        <f t="array" ref="Z128">IF(X128=0, 0, SUM(N128:P128)*(1+'Tillegg-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A128" s="336" cm="1">
        <f t="array" ref="AA128">IF(X128=0, 0, ('Tillegg- Inndata Øvrige'!G126+'Tillegg- Inndata Øvrige'!O126+'Tillegg- Inndata Øvrige'!S126)*(1+'Tillegg- Inndata Øvrige'!K126)*Transport_utslipp_til_avfallshånderting_per_kg*IF('Tillegg-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B128" s="334" cm="1">
        <f t="array" ref="AB128">IF(X128=0, 0,1.833*'Tillegg- Inndata Øvrige'!J126*('Tillegg- Inndata Øvrige'!X126*_xlfn.XLOOKUP(IF('Tillegg- Inndata Øvrige'!I126&lt;2,'Tillegg- Inndata Øvrige'!H126,'Tillegg- Inndata Øvrige'!H126*2), År_etter_ferdigstillelse, Faktorer!$Z$7:$Z$58))*('Tillegg- Inndata Øvrige'!L126*0.5+'Tillegg- Inndata Øvrige'!M126*0.8)*_xlfn.XLOOKUP(IF('Tillegg- Inndata Øvrige'!I126&lt;2,'Tillegg- Inndata Øvrige'!H126,'Tillegg- Inndata Øvrige'!H126*2), År_etter_ferdigstillelse,  IF(LEFT('Tillegg- Inndata Øvrige'!B126, 2)= 49, f_tid_x_f_tek_d_0_037, f_tid_x_f_tek_d_0_01)))</f>
        <v>0</v>
      </c>
      <c r="AC128" s="335">
        <f>IF(('Tillegg- Inndata Øvrige'!G126) = 0, 0,('Tillegg- Inndata Øvrige'!G126*((AG128+AI128)*Transport_utslipp_til_avfallshånderting_per_kg)+('Tillegg- Inndata Øvrige'!Z126*'ZERO-B Beregning'!D228)*IF('ZERO-B Beregning'!F229=0,'ZERO-B Beregning'!D229,'ZERO-B Beregning'!F229))*_xlfn.XLOOKUP(51, År_etter_ferdigstillelse, f_tid_x_f_tek_d_0_01))</f>
        <v>0</v>
      </c>
      <c r="AD128" s="337">
        <f>IF(('Tillegg- Inndata Øvrige'!G126) = 0, 0,1.833*('Tillegg- Inndata Øvrige'!G126*('Tillegg- Inndata Øvrige'!L126*0.5+'Tillegg- Inndata Øvrige'!M126*0.8)*AG128*_xlfn.XLOOKUP(51, År_etter_ferdigstillelse,  f_tid_x_f_tek_d_0_01)))</f>
        <v>0</v>
      </c>
      <c r="AE128" s="333" cm="1">
        <f t="array" ref="AE128">IF(('Tillegg- Inndata Øvrige'!G126) = 0, 0,-0.8*('Tillegg- Inndata Øvrige'!G126)*AH128*('Tillegg- Inndata Øvrige'!E126/'Tillegg- Inndata Øvrige'!G126)*_xlfn.XLOOKUP(51, År_etter_ferdigstillelse,  IF(LEFT('Tillegg- Inndata Øvrige'!B126, 2)= 49, f_tid_x_f_tek_d_0_037, f_tid_x_f_tek_d_0_01)))</f>
        <v>0</v>
      </c>
      <c r="AF128" s="338" cm="1">
        <f t="array" ref="AF128">IF(('Tillegg- Inndata Øvrige'!G126) = 0, 0,-0.1*('Tillegg- Inndata Øvrige'!G126)*AI128*('Tillegg- Inndata Øvrige'!E126/'Tillegg- Inndata Øvrige'!G126)*_xlfn.XLOOKUP(51, År_etter_ferdigstillelse,  IF(LEFT('Tillegg- Inndata Øvrige'!B126, 2)= 49, f_tid_x_f_tek_d_0_037, f_tid_x_f_tek_d_0_01)))</f>
        <v>0</v>
      </c>
      <c r="AG128" s="572">
        <f>IF(('Tillegg- Inndata Øvrige'!G126) = 0, 0,'Tillegg- Inndata Øvrige'!X126*Faktorer!$Z$58)</f>
        <v>0</v>
      </c>
      <c r="AH128" s="573">
        <f>IF(('Tillegg- Inndata Øvrige'!G126) = 0, 0,'Tillegg- Inndata Øvrige'!Z126+('Tillegg- Inndata Øvrige'!X126+'Tillegg- Inndata Øvrige'!Y126)*(1-Faktorer!$Z$58)*0.5)</f>
        <v>0</v>
      </c>
      <c r="AI128" s="574">
        <f>IF(('Tillegg- Inndata Øvrige'!G126) = 0, 0,'Tillegg- Inndata Øvrige'!AA126+('Tillegg- Inndata Øvrige'!X126+'Tillegg- Inndata Øvrige'!Y126)*(1-Faktorer!$Z$58)*0.5)</f>
        <v>0</v>
      </c>
      <c r="AK128" s="90">
        <f t="shared" si="2"/>
        <v>0</v>
      </c>
      <c r="AL128" s="91">
        <f>'Tillegg- Res. Det. Øvrige'!N128</f>
        <v>0</v>
      </c>
      <c r="AM128" s="91" t="str">
        <f>IF(F128=0,"",('Tillegg- Inndata Øvrige'!E128+'Tillegg- Inndata Øvrige'!F128)*ROUNDDOWN('Tillegg- Inndata Øvrige'!I128,0)*(1+'Tillegg- Inndata Øvrige'!K128))</f>
        <v/>
      </c>
      <c r="AO128" s="1"/>
    </row>
    <row r="129" spans="2:41">
      <c r="B129" s="327">
        <f>'Tillegg- Inndata Øvrige'!B127</f>
        <v>0</v>
      </c>
      <c r="C129" s="327">
        <f>'Tillegg- Inndata Øvrige'!C127</f>
        <v>0</v>
      </c>
      <c r="D129" s="327">
        <f>'Tillegg- Inndata Øvrige'!D127</f>
        <v>0</v>
      </c>
      <c r="E129" s="421" cm="1">
        <f t="array" ref="E129">SUM(IFERROR(F129:AF129,0))</f>
        <v>0</v>
      </c>
      <c r="F129" s="330">
        <f>'Tillegg- Inndata Øvrige'!E127</f>
        <v>0</v>
      </c>
      <c r="G129" s="330">
        <f>IF('Tillegg- Inndata Øvrige'!AB127="Ja", -0.8*$F129, 0)</f>
        <v>0</v>
      </c>
      <c r="H129" s="330">
        <f>IF('Tillegg- Inndata Øvrige'!AC127="Ja", -0.4*$F129, 0)</f>
        <v>0</v>
      </c>
      <c r="I129" s="330">
        <f>IF('Tillegg- Inndata Øvrige'!AD127="Ja", -1*$F129, 0)</f>
        <v>0</v>
      </c>
      <c r="J129" s="330">
        <f>'Tillegg- Inndata Øvrige'!O127*'Tillegg- Inndata Øvrige'!P127</f>
        <v>0</v>
      </c>
      <c r="K129" s="330">
        <f>MAX(-0.75*(SUM('Tillegg- Res. Det. Øvrige'!F129:J129)),-'Tillegg- Inndata Øvrige'!O127*'Tillegg- Inndata Øvrige'!Q127)</f>
        <v>0</v>
      </c>
      <c r="L129" s="330">
        <f>'Tillegg- Inndata Øvrige'!S127*'Tillegg- Inndata Øvrige'!T127</f>
        <v>0</v>
      </c>
      <c r="M129" s="330">
        <f>MAX(-0.75*(SUM('Tillegg- Res. Det. Øvrige'!F129:I129,L129)),-'Tillegg- Inndata Øvrige'!S127*'Tillegg- Inndata Øvrige'!U127)</f>
        <v>0</v>
      </c>
      <c r="N129" s="331">
        <f>'Tillegg- Inndata Øvrige'!F127</f>
        <v>0</v>
      </c>
      <c r="O129" s="330">
        <f>'Tillegg- Inndata Øvrige'!O127*'Tillegg- Inndata Øvrige'!R127</f>
        <v>0</v>
      </c>
      <c r="P129" s="332">
        <f>'Tillegg- Inndata Øvrige'!S127*'Tillegg- Inndata Øvrige'!V127</f>
        <v>0</v>
      </c>
      <c r="Q129" s="333">
        <f>SUM(F129:J129,L129)*'Tillegg- Inndata Øvrige'!K127</f>
        <v>0</v>
      </c>
      <c r="R129" s="333">
        <f>(K129+M129)*'Tillegg- Inndata Øvrige'!K127</f>
        <v>0</v>
      </c>
      <c r="S129" s="333">
        <f>SUM(N129:P129)*'Tillegg- Inndata Øvrige'!K127</f>
        <v>0</v>
      </c>
      <c r="T129" s="334">
        <f>('Tillegg- Inndata Øvrige'!G127+'Tillegg- Inndata Øvrige'!O127+'Tillegg- Inndata Øvrige'!S127)*'Tillegg- Inndata Øvrige'!K127*Transport_utslipp_til_avfallshånderting_per_kg</f>
        <v>0</v>
      </c>
      <c r="U129" s="330">
        <f>IF('Tillegg- Inndata Øvrige'!E127 = 0, 0, 1.833*'Tillegg- Inndata Øvrige'!X127*'Tillegg- Inndata Øvrige'!K127*('Tillegg- Inndata Øvrige'!G127*('Tillegg- Inndata Øvrige'!L127*0.5+'Tillegg- Inndata Øvrige'!M127*0.8) + (12/44)*('Tillegg- Inndata Øvrige'!O127*'Tillegg- Inndata Øvrige'!Q127+'Tillegg- Inndata Øvrige'!S127*'Tillegg- Inndata Øvrige'!U127)))</f>
        <v>0</v>
      </c>
      <c r="V129" s="335">
        <f>IF('Tillegg- Inndata Øvrige'!G127 = 0, 0,  MAX(-SUM(F129:J129,L129)*'Tillegg- Inndata Øvrige'!L127, -0.114*IF('Tillegg- Inndata Øvrige'!H127 &gt; 49, _xlfn.XLOOKUP(49, År_etter_ferdigstillelse, karbon_opptak_faktor), _xlfn.XLOOKUP('Tillegg- Inndata Øvrige'!H127, År_etter_ferdigstillelse, karbon_opptak_faktor))*'Tillegg- Inndata Øvrige'!G127*'Tillegg- Inndata Øvrige'!L127*0.5))</f>
        <v>0</v>
      </c>
      <c r="W129" s="333">
        <f>IF('Tillegg- Inndata Øvrige'!G127=0,0,IF('Tillegg- Inndata Øvrige'!H127&gt;49,-0.064*'Tillegg- Inndata Øvrige'!G127*'Tillegg- Inndata Øvrige'!N127,-0.037*'Tillegg- Inndata Øvrige'!J127*'Tillegg- Inndata Øvrige'!N127))</f>
        <v>0</v>
      </c>
      <c r="X129" s="331" cm="1">
        <f t="array" ref="X129">IF(SUM(F129:J129,L129)=0, 0, SUM(F129:J129,L129)*(1+'Tillegg-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Y129" s="330" cm="1">
        <f t="array" ref="Y129">IF(X129=0, 0, SUM(K129,M129)*(1+'Tillegg-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Z129" s="336" cm="1">
        <f t="array" ref="Z129">IF(X129=0, 0, SUM(N129:P129)*(1+'Tillegg-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A129" s="336" cm="1">
        <f t="array" ref="AA129">IF(X129=0, 0, ('Tillegg- Inndata Øvrige'!G127+'Tillegg- Inndata Øvrige'!O127+'Tillegg- Inndata Øvrige'!S127)*(1+'Tillegg- Inndata Øvrige'!K127)*Transport_utslipp_til_avfallshånderting_per_kg*IF('Tillegg-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B129" s="334" cm="1">
        <f t="array" ref="AB129">IF(X129=0, 0,1.833*'Tillegg- Inndata Øvrige'!J127*('Tillegg- Inndata Øvrige'!X127*_xlfn.XLOOKUP(IF('Tillegg- Inndata Øvrige'!I127&lt;2,'Tillegg- Inndata Øvrige'!H127,'Tillegg- Inndata Øvrige'!H127*2), År_etter_ferdigstillelse, Faktorer!$Z$7:$Z$58))*('Tillegg- Inndata Øvrige'!L127*0.5+'Tillegg- Inndata Øvrige'!M127*0.8)*_xlfn.XLOOKUP(IF('Tillegg- Inndata Øvrige'!I127&lt;2,'Tillegg- Inndata Øvrige'!H127,'Tillegg- Inndata Øvrige'!H127*2), År_etter_ferdigstillelse,  IF(LEFT('Tillegg- Inndata Øvrige'!B127, 2)= 49, f_tid_x_f_tek_d_0_037, f_tid_x_f_tek_d_0_01)))</f>
        <v>0</v>
      </c>
      <c r="AC129" s="335">
        <f>IF(('Tillegg- Inndata Øvrige'!G127) = 0, 0,('Tillegg- Inndata Øvrige'!G127*((AG129+AI129)*Transport_utslipp_til_avfallshånderting_per_kg)+('Tillegg- Inndata Øvrige'!Z127*'ZERO-B Beregning'!D229)*IF('ZERO-B Beregning'!F230=0,'ZERO-B Beregning'!D230,'ZERO-B Beregning'!F230))*_xlfn.XLOOKUP(51, År_etter_ferdigstillelse, f_tid_x_f_tek_d_0_01))</f>
        <v>0</v>
      </c>
      <c r="AD129" s="337">
        <f>IF(('Tillegg- Inndata Øvrige'!G127) = 0, 0,1.833*('Tillegg- Inndata Øvrige'!G127*('Tillegg- Inndata Øvrige'!L127*0.5+'Tillegg- Inndata Øvrige'!M127*0.8)*AG129*_xlfn.XLOOKUP(51, År_etter_ferdigstillelse,  f_tid_x_f_tek_d_0_01)))</f>
        <v>0</v>
      </c>
      <c r="AE129" s="333" cm="1">
        <f t="array" ref="AE129">IF(('Tillegg- Inndata Øvrige'!G127) = 0, 0,-0.8*('Tillegg- Inndata Øvrige'!G127)*AH129*('Tillegg- Inndata Øvrige'!E127/'Tillegg- Inndata Øvrige'!G127)*_xlfn.XLOOKUP(51, År_etter_ferdigstillelse,  IF(LEFT('Tillegg- Inndata Øvrige'!B127, 2)= 49, f_tid_x_f_tek_d_0_037, f_tid_x_f_tek_d_0_01)))</f>
        <v>0</v>
      </c>
      <c r="AF129" s="338" cm="1">
        <f t="array" ref="AF129">IF(('Tillegg- Inndata Øvrige'!G127) = 0, 0,-0.1*('Tillegg- Inndata Øvrige'!G127)*AI129*('Tillegg- Inndata Øvrige'!E127/'Tillegg- Inndata Øvrige'!G127)*_xlfn.XLOOKUP(51, År_etter_ferdigstillelse,  IF(LEFT('Tillegg- Inndata Øvrige'!B127, 2)= 49, f_tid_x_f_tek_d_0_037, f_tid_x_f_tek_d_0_01)))</f>
        <v>0</v>
      </c>
      <c r="AG129" s="572">
        <f>IF(('Tillegg- Inndata Øvrige'!G127) = 0, 0,'Tillegg- Inndata Øvrige'!X127*Faktorer!$Z$58)</f>
        <v>0</v>
      </c>
      <c r="AH129" s="573">
        <f>IF(('Tillegg- Inndata Øvrige'!G127) = 0, 0,'Tillegg- Inndata Øvrige'!Z127+('Tillegg- Inndata Øvrige'!X127+'Tillegg- Inndata Øvrige'!Y127)*(1-Faktorer!$Z$58)*0.5)</f>
        <v>0</v>
      </c>
      <c r="AI129" s="574">
        <f>IF(('Tillegg- Inndata Øvrige'!G127) = 0, 0,'Tillegg- Inndata Øvrige'!AA127+('Tillegg- Inndata Øvrige'!X127+'Tillegg- Inndata Øvrige'!Y127)*(1-Faktorer!$Z$58)*0.5)</f>
        <v>0</v>
      </c>
      <c r="AK129" s="90">
        <f t="shared" si="2"/>
        <v>0</v>
      </c>
      <c r="AL129" s="91">
        <f>'Tillegg- Res. Det. Øvrige'!N129</f>
        <v>0</v>
      </c>
      <c r="AM129" s="91" t="str">
        <f>IF(F129=0,"",('Tillegg- Inndata Øvrige'!E129+'Tillegg- Inndata Øvrige'!F129)*ROUNDDOWN('Tillegg- Inndata Øvrige'!I129,0)*(1+'Tillegg- Inndata Øvrige'!K129))</f>
        <v/>
      </c>
      <c r="AO129" s="1"/>
    </row>
    <row r="130" spans="2:41">
      <c r="B130" s="327">
        <f>'Tillegg- Inndata Øvrige'!B128</f>
        <v>0</v>
      </c>
      <c r="C130" s="327">
        <f>'Tillegg- Inndata Øvrige'!C128</f>
        <v>0</v>
      </c>
      <c r="D130" s="327">
        <f>'Tillegg- Inndata Øvrige'!D128</f>
        <v>0</v>
      </c>
      <c r="E130" s="421" cm="1">
        <f t="array" ref="E130">SUM(IFERROR(F130:AF130,0))</f>
        <v>0</v>
      </c>
      <c r="F130" s="330">
        <f>'Tillegg- Inndata Øvrige'!E128</f>
        <v>0</v>
      </c>
      <c r="G130" s="330">
        <f>IF('Tillegg- Inndata Øvrige'!AB128="Ja", -0.8*$F130, 0)</f>
        <v>0</v>
      </c>
      <c r="H130" s="330">
        <f>IF('Tillegg- Inndata Øvrige'!AC128="Ja", -0.4*$F130, 0)</f>
        <v>0</v>
      </c>
      <c r="I130" s="330">
        <f>IF('Tillegg- Inndata Øvrige'!AD128="Ja", -1*$F130, 0)</f>
        <v>0</v>
      </c>
      <c r="J130" s="330">
        <f>'Tillegg- Inndata Øvrige'!O128*'Tillegg- Inndata Øvrige'!P128</f>
        <v>0</v>
      </c>
      <c r="K130" s="330">
        <f>MAX(-0.75*(SUM('Tillegg- Res. Det. Øvrige'!F130:J130)),-'Tillegg- Inndata Øvrige'!O128*'Tillegg- Inndata Øvrige'!Q128)</f>
        <v>0</v>
      </c>
      <c r="L130" s="330">
        <f>'Tillegg- Inndata Øvrige'!S128*'Tillegg- Inndata Øvrige'!T128</f>
        <v>0</v>
      </c>
      <c r="M130" s="330">
        <f>MAX(-0.75*(SUM('Tillegg- Res. Det. Øvrige'!F130:I130,L130)),-'Tillegg- Inndata Øvrige'!S128*'Tillegg- Inndata Øvrige'!U128)</f>
        <v>0</v>
      </c>
      <c r="N130" s="331">
        <f>'Tillegg- Inndata Øvrige'!F128</f>
        <v>0</v>
      </c>
      <c r="O130" s="330">
        <f>'Tillegg- Inndata Øvrige'!O128*'Tillegg- Inndata Øvrige'!R128</f>
        <v>0</v>
      </c>
      <c r="P130" s="332">
        <f>'Tillegg- Inndata Øvrige'!S128*'Tillegg- Inndata Øvrige'!V128</f>
        <v>0</v>
      </c>
      <c r="Q130" s="333">
        <f>SUM(F130:J130,L130)*'Tillegg- Inndata Øvrige'!K128</f>
        <v>0</v>
      </c>
      <c r="R130" s="333">
        <f>(K130+M130)*'Tillegg- Inndata Øvrige'!K128</f>
        <v>0</v>
      </c>
      <c r="S130" s="333">
        <f>SUM(N130:P130)*'Tillegg- Inndata Øvrige'!K128</f>
        <v>0</v>
      </c>
      <c r="T130" s="334">
        <f>('Tillegg- Inndata Øvrige'!G128+'Tillegg- Inndata Øvrige'!O128+'Tillegg- Inndata Øvrige'!S128)*'Tillegg- Inndata Øvrige'!K128*Transport_utslipp_til_avfallshånderting_per_kg</f>
        <v>0</v>
      </c>
      <c r="U130" s="330">
        <f>IF('Tillegg- Inndata Øvrige'!E128 = 0, 0, 1.833*'Tillegg- Inndata Øvrige'!X128*'Tillegg- Inndata Øvrige'!K128*('Tillegg- Inndata Øvrige'!G128*('Tillegg- Inndata Øvrige'!L128*0.5+'Tillegg- Inndata Øvrige'!M128*0.8) + (12/44)*('Tillegg- Inndata Øvrige'!O128*'Tillegg- Inndata Øvrige'!Q128+'Tillegg- Inndata Øvrige'!S128*'Tillegg- Inndata Øvrige'!U128)))</f>
        <v>0</v>
      </c>
      <c r="V130" s="335">
        <f>IF('Tillegg- Inndata Øvrige'!G128 = 0, 0,  MAX(-SUM(F130:J130,L130)*'Tillegg- Inndata Øvrige'!L128, -0.114*IF('Tillegg- Inndata Øvrige'!H128 &gt; 49, _xlfn.XLOOKUP(49, År_etter_ferdigstillelse, karbon_opptak_faktor), _xlfn.XLOOKUP('Tillegg- Inndata Øvrige'!H128, År_etter_ferdigstillelse, karbon_opptak_faktor))*'Tillegg- Inndata Øvrige'!G128*'Tillegg- Inndata Øvrige'!L128*0.5))</f>
        <v>0</v>
      </c>
      <c r="W130" s="333">
        <f>IF('Tillegg- Inndata Øvrige'!G128=0,0,IF('Tillegg- Inndata Øvrige'!H128&gt;49,-0.064*'Tillegg- Inndata Øvrige'!G128*'Tillegg- Inndata Øvrige'!N128,-0.037*'Tillegg- Inndata Øvrige'!J128*'Tillegg- Inndata Øvrige'!N128))</f>
        <v>0</v>
      </c>
      <c r="X130" s="331" cm="1">
        <f t="array" ref="X130">IF(SUM(F130:J130,L130)=0, 0, SUM(F130:J130,L130)*(1+'Tillegg-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Y130" s="330" cm="1">
        <f t="array" ref="Y130">IF(X130=0, 0, SUM(K130,M130)*(1+'Tillegg-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Z130" s="336" cm="1">
        <f t="array" ref="Z130">IF(X130=0, 0, SUM(N130:P130)*(1+'Tillegg-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A130" s="336" cm="1">
        <f t="array" ref="AA130">IF(X130=0, 0, ('Tillegg- Inndata Øvrige'!G128+'Tillegg- Inndata Øvrige'!O128+'Tillegg- Inndata Øvrige'!S128)*(1+'Tillegg- Inndata Øvrige'!K128)*Transport_utslipp_til_avfallshånderting_per_kg*IF('Tillegg-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B130" s="334" cm="1">
        <f t="array" ref="AB130">IF(X130=0, 0,1.833*'Tillegg- Inndata Øvrige'!J128*('Tillegg- Inndata Øvrige'!X128*_xlfn.XLOOKUP(IF('Tillegg- Inndata Øvrige'!I128&lt;2,'Tillegg- Inndata Øvrige'!H128,'Tillegg- Inndata Øvrige'!H128*2), År_etter_ferdigstillelse, Faktorer!$Z$7:$Z$58))*('Tillegg- Inndata Øvrige'!L128*0.5+'Tillegg- Inndata Øvrige'!M128*0.8)*_xlfn.XLOOKUP(IF('Tillegg- Inndata Øvrige'!I128&lt;2,'Tillegg- Inndata Øvrige'!H128,'Tillegg- Inndata Øvrige'!H128*2), År_etter_ferdigstillelse,  IF(LEFT('Tillegg- Inndata Øvrige'!B128, 2)= 49, f_tid_x_f_tek_d_0_037, f_tid_x_f_tek_d_0_01)))</f>
        <v>0</v>
      </c>
      <c r="AC130" s="335">
        <f>IF(('Tillegg- Inndata Øvrige'!G128) = 0, 0,('Tillegg- Inndata Øvrige'!G128*((AG130+AI130)*Transport_utslipp_til_avfallshånderting_per_kg)+('Tillegg- Inndata Øvrige'!Z128*'ZERO-B Beregning'!D230)*IF('ZERO-B Beregning'!F231=0,'ZERO-B Beregning'!D231,'ZERO-B Beregning'!F231))*_xlfn.XLOOKUP(51, År_etter_ferdigstillelse, f_tid_x_f_tek_d_0_01))</f>
        <v>0</v>
      </c>
      <c r="AD130" s="337">
        <f>IF(('Tillegg- Inndata Øvrige'!G128) = 0, 0,1.833*('Tillegg- Inndata Øvrige'!G128*('Tillegg- Inndata Øvrige'!L128*0.5+'Tillegg- Inndata Øvrige'!M128*0.8)*AG130*_xlfn.XLOOKUP(51, År_etter_ferdigstillelse,  f_tid_x_f_tek_d_0_01)))</f>
        <v>0</v>
      </c>
      <c r="AE130" s="333" cm="1">
        <f t="array" ref="AE130">IF(('Tillegg- Inndata Øvrige'!G128) = 0, 0,-0.8*('Tillegg- Inndata Øvrige'!G128)*AH130*('Tillegg- Inndata Øvrige'!E128/'Tillegg- Inndata Øvrige'!G128)*_xlfn.XLOOKUP(51, År_etter_ferdigstillelse,  IF(LEFT('Tillegg- Inndata Øvrige'!B128, 2)= 49, f_tid_x_f_tek_d_0_037, f_tid_x_f_tek_d_0_01)))</f>
        <v>0</v>
      </c>
      <c r="AF130" s="338" cm="1">
        <f t="array" ref="AF130">IF(('Tillegg- Inndata Øvrige'!G128) = 0, 0,-0.1*('Tillegg- Inndata Øvrige'!G128)*AI130*('Tillegg- Inndata Øvrige'!E128/'Tillegg- Inndata Øvrige'!G128)*_xlfn.XLOOKUP(51, År_etter_ferdigstillelse,  IF(LEFT('Tillegg- Inndata Øvrige'!B128, 2)= 49, f_tid_x_f_tek_d_0_037, f_tid_x_f_tek_d_0_01)))</f>
        <v>0</v>
      </c>
      <c r="AG130" s="572">
        <f>IF(('Tillegg- Inndata Øvrige'!G128) = 0, 0,'Tillegg- Inndata Øvrige'!X128*Faktorer!$Z$58)</f>
        <v>0</v>
      </c>
      <c r="AH130" s="573">
        <f>IF(('Tillegg- Inndata Øvrige'!G128) = 0, 0,'Tillegg- Inndata Øvrige'!Z128+('Tillegg- Inndata Øvrige'!X128+'Tillegg- Inndata Øvrige'!Y128)*(1-Faktorer!$Z$58)*0.5)</f>
        <v>0</v>
      </c>
      <c r="AI130" s="574">
        <f>IF(('Tillegg- Inndata Øvrige'!G128) = 0, 0,'Tillegg- Inndata Øvrige'!AA128+('Tillegg- Inndata Øvrige'!X128+'Tillegg- Inndata Øvrige'!Y128)*(1-Faktorer!$Z$58)*0.5)</f>
        <v>0</v>
      </c>
      <c r="AK130" s="90">
        <f t="shared" si="2"/>
        <v>0</v>
      </c>
      <c r="AL130" s="91">
        <f>'Tillegg- Res. Det. Øvrige'!N130</f>
        <v>0</v>
      </c>
      <c r="AM130" s="91" t="str">
        <f>IF(F130=0,"",('Tillegg- Inndata Øvrige'!E130+'Tillegg- Inndata Øvrige'!F130)*ROUNDDOWN('Tillegg- Inndata Øvrige'!I130,0)*(1+'Tillegg- Inndata Øvrige'!K130))</f>
        <v/>
      </c>
      <c r="AO130" s="1"/>
    </row>
    <row r="131" spans="2:41">
      <c r="B131" s="327">
        <f>'Tillegg- Inndata Øvrige'!B129</f>
        <v>0</v>
      </c>
      <c r="C131" s="327">
        <f>'Tillegg- Inndata Øvrige'!C129</f>
        <v>0</v>
      </c>
      <c r="D131" s="327">
        <f>'Tillegg- Inndata Øvrige'!D129</f>
        <v>0</v>
      </c>
      <c r="E131" s="421" cm="1">
        <f t="array" ref="E131">SUM(IFERROR(F131:AF131,0))</f>
        <v>0</v>
      </c>
      <c r="F131" s="330">
        <f>'Tillegg- Inndata Øvrige'!E129</f>
        <v>0</v>
      </c>
      <c r="G131" s="330">
        <f>IF('Tillegg- Inndata Øvrige'!AB129="Ja", -0.8*$F131, 0)</f>
        <v>0</v>
      </c>
      <c r="H131" s="330">
        <f>IF('Tillegg- Inndata Øvrige'!AC129="Ja", -0.4*$F131, 0)</f>
        <v>0</v>
      </c>
      <c r="I131" s="330">
        <f>IF('Tillegg- Inndata Øvrige'!AD129="Ja", -1*$F131, 0)</f>
        <v>0</v>
      </c>
      <c r="J131" s="330">
        <f>'Tillegg- Inndata Øvrige'!O129*'Tillegg- Inndata Øvrige'!P129</f>
        <v>0</v>
      </c>
      <c r="K131" s="330">
        <f>MAX(-0.75*(SUM('Tillegg- Res. Det. Øvrige'!F131:J131)),-'Tillegg- Inndata Øvrige'!O129*'Tillegg- Inndata Øvrige'!Q129)</f>
        <v>0</v>
      </c>
      <c r="L131" s="330">
        <f>'Tillegg- Inndata Øvrige'!S129*'Tillegg- Inndata Øvrige'!T129</f>
        <v>0</v>
      </c>
      <c r="M131" s="330">
        <f>MAX(-0.75*(SUM('Tillegg- Res. Det. Øvrige'!F131:I131,L131)),-'Tillegg- Inndata Øvrige'!S129*'Tillegg- Inndata Øvrige'!U129)</f>
        <v>0</v>
      </c>
      <c r="N131" s="331">
        <f>'Tillegg- Inndata Øvrige'!F129</f>
        <v>0</v>
      </c>
      <c r="O131" s="330">
        <f>'Tillegg- Inndata Øvrige'!O129*'Tillegg- Inndata Øvrige'!R129</f>
        <v>0</v>
      </c>
      <c r="P131" s="332">
        <f>'Tillegg- Inndata Øvrige'!S129*'Tillegg- Inndata Øvrige'!V129</f>
        <v>0</v>
      </c>
      <c r="Q131" s="333">
        <f>SUM(F131:J131,L131)*'Tillegg- Inndata Øvrige'!K129</f>
        <v>0</v>
      </c>
      <c r="R131" s="333">
        <f>(K131+M131)*'Tillegg- Inndata Øvrige'!K129</f>
        <v>0</v>
      </c>
      <c r="S131" s="333">
        <f>SUM(N131:P131)*'Tillegg- Inndata Øvrige'!K129</f>
        <v>0</v>
      </c>
      <c r="T131" s="334">
        <f>('Tillegg- Inndata Øvrige'!G129+'Tillegg- Inndata Øvrige'!O129+'Tillegg- Inndata Øvrige'!S129)*'Tillegg- Inndata Øvrige'!K129*Transport_utslipp_til_avfallshånderting_per_kg</f>
        <v>0</v>
      </c>
      <c r="U131" s="330">
        <f>IF('Tillegg- Inndata Øvrige'!E129 = 0, 0, 1.833*'Tillegg- Inndata Øvrige'!X129*'Tillegg- Inndata Øvrige'!K129*('Tillegg- Inndata Øvrige'!G129*('Tillegg- Inndata Øvrige'!L129*0.5+'Tillegg- Inndata Øvrige'!M129*0.8) + (12/44)*('Tillegg- Inndata Øvrige'!O129*'Tillegg- Inndata Øvrige'!Q129+'Tillegg- Inndata Øvrige'!S129*'Tillegg- Inndata Øvrige'!U129)))</f>
        <v>0</v>
      </c>
      <c r="V131" s="335">
        <f>IF('Tillegg- Inndata Øvrige'!G129 = 0, 0,  MAX(-SUM(F131:J131,L131)*'Tillegg- Inndata Øvrige'!L129, -0.114*IF('Tillegg- Inndata Øvrige'!H129 &gt; 49, _xlfn.XLOOKUP(49, År_etter_ferdigstillelse, karbon_opptak_faktor), _xlfn.XLOOKUP('Tillegg- Inndata Øvrige'!H129, År_etter_ferdigstillelse, karbon_opptak_faktor))*'Tillegg- Inndata Øvrige'!G129*'Tillegg- Inndata Øvrige'!L129*0.5))</f>
        <v>0</v>
      </c>
      <c r="W131" s="333">
        <f>IF('Tillegg- Inndata Øvrige'!G129=0,0,IF('Tillegg- Inndata Øvrige'!H129&gt;49,-0.064*'Tillegg- Inndata Øvrige'!G129*'Tillegg- Inndata Øvrige'!N129,-0.037*'Tillegg- Inndata Øvrige'!J129*'Tillegg- Inndata Øvrige'!N129))</f>
        <v>0</v>
      </c>
      <c r="X131" s="331" cm="1">
        <f t="array" ref="X131">IF(SUM(F131:J131,L131)=0, 0, SUM(F131:J131,L131)*(1+'Tillegg-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Y131" s="330" cm="1">
        <f t="array" ref="Y131">IF(X131=0, 0, SUM(K131,M131)*(1+'Tillegg-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Z131" s="336" cm="1">
        <f t="array" ref="Z131">IF(X131=0, 0, SUM(N131:P131)*(1+'Tillegg-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A131" s="336" cm="1">
        <f t="array" ref="AA131">IF(X131=0, 0, ('Tillegg- Inndata Øvrige'!G129+'Tillegg- Inndata Øvrige'!O129+'Tillegg- Inndata Øvrige'!S129)*(1+'Tillegg- Inndata Øvrige'!K129)*Transport_utslipp_til_avfallshånderting_per_kg*IF('Tillegg-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B131" s="334" cm="1">
        <f t="array" ref="AB131">IF(X131=0, 0,1.833*'Tillegg- Inndata Øvrige'!J129*('Tillegg- Inndata Øvrige'!X129*_xlfn.XLOOKUP(IF('Tillegg- Inndata Øvrige'!I129&lt;2,'Tillegg- Inndata Øvrige'!H129,'Tillegg- Inndata Øvrige'!H129*2), År_etter_ferdigstillelse, Faktorer!$Z$7:$Z$58))*('Tillegg- Inndata Øvrige'!L129*0.5+'Tillegg- Inndata Øvrige'!M129*0.8)*_xlfn.XLOOKUP(IF('Tillegg- Inndata Øvrige'!I129&lt;2,'Tillegg- Inndata Øvrige'!H129,'Tillegg- Inndata Øvrige'!H129*2), År_etter_ferdigstillelse,  IF(LEFT('Tillegg- Inndata Øvrige'!B129, 2)= 49, f_tid_x_f_tek_d_0_037, f_tid_x_f_tek_d_0_01)))</f>
        <v>0</v>
      </c>
      <c r="AC131" s="335">
        <f>IF(('Tillegg- Inndata Øvrige'!G129) = 0, 0,('Tillegg- Inndata Øvrige'!G129*((AG131+AI131)*Transport_utslipp_til_avfallshånderting_per_kg)+('Tillegg- Inndata Øvrige'!Z129*'ZERO-B Beregning'!D231)*IF('ZERO-B Beregning'!F232=0,'ZERO-B Beregning'!D232,'ZERO-B Beregning'!F232))*_xlfn.XLOOKUP(51, År_etter_ferdigstillelse, f_tid_x_f_tek_d_0_01))</f>
        <v>0</v>
      </c>
      <c r="AD131" s="337">
        <f>IF(('Tillegg- Inndata Øvrige'!G129) = 0, 0,1.833*('Tillegg- Inndata Øvrige'!G129*('Tillegg- Inndata Øvrige'!L129*0.5+'Tillegg- Inndata Øvrige'!M129*0.8)*AG131*_xlfn.XLOOKUP(51, År_etter_ferdigstillelse,  f_tid_x_f_tek_d_0_01)))</f>
        <v>0</v>
      </c>
      <c r="AE131" s="333" cm="1">
        <f t="array" ref="AE131">IF(('Tillegg- Inndata Øvrige'!G129) = 0, 0,-0.8*('Tillegg- Inndata Øvrige'!G129)*AH131*('Tillegg- Inndata Øvrige'!E129/'Tillegg- Inndata Øvrige'!G129)*_xlfn.XLOOKUP(51, År_etter_ferdigstillelse,  IF(LEFT('Tillegg- Inndata Øvrige'!B129, 2)= 49, f_tid_x_f_tek_d_0_037, f_tid_x_f_tek_d_0_01)))</f>
        <v>0</v>
      </c>
      <c r="AF131" s="338" cm="1">
        <f t="array" ref="AF131">IF(('Tillegg- Inndata Øvrige'!G129) = 0, 0,-0.1*('Tillegg- Inndata Øvrige'!G129)*AI131*('Tillegg- Inndata Øvrige'!E129/'Tillegg- Inndata Øvrige'!G129)*_xlfn.XLOOKUP(51, År_etter_ferdigstillelse,  IF(LEFT('Tillegg- Inndata Øvrige'!B129, 2)= 49, f_tid_x_f_tek_d_0_037, f_tid_x_f_tek_d_0_01)))</f>
        <v>0</v>
      </c>
      <c r="AG131" s="572">
        <f>IF(('Tillegg- Inndata Øvrige'!G129) = 0, 0,'Tillegg- Inndata Øvrige'!X129*Faktorer!$Z$58)</f>
        <v>0</v>
      </c>
      <c r="AH131" s="573">
        <f>IF(('Tillegg- Inndata Øvrige'!G129) = 0, 0,'Tillegg- Inndata Øvrige'!Z129+('Tillegg- Inndata Øvrige'!X129+'Tillegg- Inndata Øvrige'!Y129)*(1-Faktorer!$Z$58)*0.5)</f>
        <v>0</v>
      </c>
      <c r="AI131" s="574">
        <f>IF(('Tillegg- Inndata Øvrige'!G129) = 0, 0,'Tillegg- Inndata Øvrige'!AA129+('Tillegg- Inndata Øvrige'!X129+'Tillegg- Inndata Øvrige'!Y129)*(1-Faktorer!$Z$58)*0.5)</f>
        <v>0</v>
      </c>
      <c r="AK131" s="90">
        <f t="shared" si="2"/>
        <v>0</v>
      </c>
      <c r="AL131" s="91">
        <f>'Tillegg- Res. Det. Øvrige'!N131</f>
        <v>0</v>
      </c>
      <c r="AM131" s="91" t="str">
        <f>IF(F131=0,"",('Tillegg- Inndata Øvrige'!E131+'Tillegg- Inndata Øvrige'!F131)*ROUNDDOWN('Tillegg- Inndata Øvrige'!I131,0)*(1+'Tillegg- Inndata Øvrige'!K131))</f>
        <v/>
      </c>
      <c r="AO131" s="1"/>
    </row>
    <row r="132" spans="2:41">
      <c r="B132" s="327">
        <f>'Tillegg- Inndata Øvrige'!B130</f>
        <v>0</v>
      </c>
      <c r="C132" s="327">
        <f>'Tillegg- Inndata Øvrige'!C130</f>
        <v>0</v>
      </c>
      <c r="D132" s="327">
        <f>'Tillegg- Inndata Øvrige'!D130</f>
        <v>0</v>
      </c>
      <c r="E132" s="421" cm="1">
        <f t="array" ref="E132">SUM(IFERROR(F132:AF132,0))</f>
        <v>0</v>
      </c>
      <c r="F132" s="330">
        <f>'Tillegg- Inndata Øvrige'!E130</f>
        <v>0</v>
      </c>
      <c r="G132" s="330">
        <f>IF('Tillegg- Inndata Øvrige'!AB130="Ja", -0.8*$F132, 0)</f>
        <v>0</v>
      </c>
      <c r="H132" s="330">
        <f>IF('Tillegg- Inndata Øvrige'!AC130="Ja", -0.4*$F132, 0)</f>
        <v>0</v>
      </c>
      <c r="I132" s="330">
        <f>IF('Tillegg- Inndata Øvrige'!AD130="Ja", -1*$F132, 0)</f>
        <v>0</v>
      </c>
      <c r="J132" s="330">
        <f>'Tillegg- Inndata Øvrige'!O130*'Tillegg- Inndata Øvrige'!P130</f>
        <v>0</v>
      </c>
      <c r="K132" s="330">
        <f>MAX(-0.75*(SUM('Tillegg- Res. Det. Øvrige'!F132:J132)),-'Tillegg- Inndata Øvrige'!O130*'Tillegg- Inndata Øvrige'!Q130)</f>
        <v>0</v>
      </c>
      <c r="L132" s="330">
        <f>'Tillegg- Inndata Øvrige'!S130*'Tillegg- Inndata Øvrige'!T130</f>
        <v>0</v>
      </c>
      <c r="M132" s="330">
        <f>MAX(-0.75*(SUM('Tillegg- Res. Det. Øvrige'!F132:I132,L132)),-'Tillegg- Inndata Øvrige'!S130*'Tillegg- Inndata Øvrige'!U130)</f>
        <v>0</v>
      </c>
      <c r="N132" s="331">
        <f>'Tillegg- Inndata Øvrige'!F130</f>
        <v>0</v>
      </c>
      <c r="O132" s="330">
        <f>'Tillegg- Inndata Øvrige'!O130*'Tillegg- Inndata Øvrige'!R130</f>
        <v>0</v>
      </c>
      <c r="P132" s="332">
        <f>'Tillegg- Inndata Øvrige'!S130*'Tillegg- Inndata Øvrige'!V130</f>
        <v>0</v>
      </c>
      <c r="Q132" s="333">
        <f>SUM(F132:J132,L132)*'Tillegg- Inndata Øvrige'!K130</f>
        <v>0</v>
      </c>
      <c r="R132" s="333">
        <f>(K132+M132)*'Tillegg- Inndata Øvrige'!K130</f>
        <v>0</v>
      </c>
      <c r="S132" s="333">
        <f>SUM(N132:P132)*'Tillegg- Inndata Øvrige'!K130</f>
        <v>0</v>
      </c>
      <c r="T132" s="334">
        <f>('Tillegg- Inndata Øvrige'!G130+'Tillegg- Inndata Øvrige'!O130+'Tillegg- Inndata Øvrige'!S130)*'Tillegg- Inndata Øvrige'!K130*Transport_utslipp_til_avfallshånderting_per_kg</f>
        <v>0</v>
      </c>
      <c r="U132" s="330">
        <f>IF('Tillegg- Inndata Øvrige'!E130 = 0, 0, 1.833*'Tillegg- Inndata Øvrige'!X130*'Tillegg- Inndata Øvrige'!K130*('Tillegg- Inndata Øvrige'!G130*('Tillegg- Inndata Øvrige'!L130*0.5+'Tillegg- Inndata Øvrige'!M130*0.8) + (12/44)*('Tillegg- Inndata Øvrige'!O130*'Tillegg- Inndata Øvrige'!Q130+'Tillegg- Inndata Øvrige'!S130*'Tillegg- Inndata Øvrige'!U130)))</f>
        <v>0</v>
      </c>
      <c r="V132" s="335">
        <f>IF('Tillegg- Inndata Øvrige'!G130 = 0, 0,  MAX(-SUM(F132:J132,L132)*'Tillegg- Inndata Øvrige'!L130, -0.114*IF('Tillegg- Inndata Øvrige'!H130 &gt; 49, _xlfn.XLOOKUP(49, År_etter_ferdigstillelse, karbon_opptak_faktor), _xlfn.XLOOKUP('Tillegg- Inndata Øvrige'!H130, År_etter_ferdigstillelse, karbon_opptak_faktor))*'Tillegg- Inndata Øvrige'!G130*'Tillegg- Inndata Øvrige'!L130*0.5))</f>
        <v>0</v>
      </c>
      <c r="W132" s="333">
        <f>IF('Tillegg- Inndata Øvrige'!G130=0,0,IF('Tillegg- Inndata Øvrige'!H130&gt;49,-0.064*'Tillegg- Inndata Øvrige'!G130*'Tillegg- Inndata Øvrige'!N130,-0.037*'Tillegg- Inndata Øvrige'!J130*'Tillegg- Inndata Øvrige'!N130))</f>
        <v>0</v>
      </c>
      <c r="X132" s="331" cm="1">
        <f t="array" ref="X132">IF(SUM(F132:J132,L132)=0, 0, SUM(F132:J132,L132)*(1+'Tillegg-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Y132" s="330" cm="1">
        <f t="array" ref="Y132">IF(X132=0, 0, SUM(K132,M132)*(1+'Tillegg-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Z132" s="336" cm="1">
        <f t="array" ref="Z132">IF(X132=0, 0, SUM(N132:P132)*(1+'Tillegg-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A132" s="336" cm="1">
        <f t="array" ref="AA132">IF(X132=0, 0, ('Tillegg- Inndata Øvrige'!G130+'Tillegg- Inndata Øvrige'!O130+'Tillegg- Inndata Øvrige'!S130)*(1+'Tillegg- Inndata Øvrige'!K130)*Transport_utslipp_til_avfallshånderting_per_kg*IF('Tillegg-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B132" s="334" cm="1">
        <f t="array" ref="AB132">IF(X132=0, 0,1.833*'Tillegg- Inndata Øvrige'!J130*('Tillegg- Inndata Øvrige'!X130*_xlfn.XLOOKUP(IF('Tillegg- Inndata Øvrige'!I130&lt;2,'Tillegg- Inndata Øvrige'!H130,'Tillegg- Inndata Øvrige'!H130*2), År_etter_ferdigstillelse, Faktorer!$Z$7:$Z$58))*('Tillegg- Inndata Øvrige'!L130*0.5+'Tillegg- Inndata Øvrige'!M130*0.8)*_xlfn.XLOOKUP(IF('Tillegg- Inndata Øvrige'!I130&lt;2,'Tillegg- Inndata Øvrige'!H130,'Tillegg- Inndata Øvrige'!H130*2), År_etter_ferdigstillelse,  IF(LEFT('Tillegg- Inndata Øvrige'!B130, 2)= 49, f_tid_x_f_tek_d_0_037, f_tid_x_f_tek_d_0_01)))</f>
        <v>0</v>
      </c>
      <c r="AC132" s="335">
        <f>IF(('Tillegg- Inndata Øvrige'!G130) = 0, 0,('Tillegg- Inndata Øvrige'!G130*((AG132+AI132)*Transport_utslipp_til_avfallshånderting_per_kg)+('Tillegg- Inndata Øvrige'!Z130*'ZERO-B Beregning'!D232)*IF('ZERO-B Beregning'!F233=0,'ZERO-B Beregning'!D233,'ZERO-B Beregning'!F233))*_xlfn.XLOOKUP(51, År_etter_ferdigstillelse, f_tid_x_f_tek_d_0_01))</f>
        <v>0</v>
      </c>
      <c r="AD132" s="337">
        <f>IF(('Tillegg- Inndata Øvrige'!G130) = 0, 0,1.833*('Tillegg- Inndata Øvrige'!G130*('Tillegg- Inndata Øvrige'!L130*0.5+'Tillegg- Inndata Øvrige'!M130*0.8)*AG132*_xlfn.XLOOKUP(51, År_etter_ferdigstillelse,  f_tid_x_f_tek_d_0_01)))</f>
        <v>0</v>
      </c>
      <c r="AE132" s="333" cm="1">
        <f t="array" ref="AE132">IF(('Tillegg- Inndata Øvrige'!G130) = 0, 0,-0.8*('Tillegg- Inndata Øvrige'!G130)*AH132*('Tillegg- Inndata Øvrige'!E130/'Tillegg- Inndata Øvrige'!G130)*_xlfn.XLOOKUP(51, År_etter_ferdigstillelse,  IF(LEFT('Tillegg- Inndata Øvrige'!B130, 2)= 49, f_tid_x_f_tek_d_0_037, f_tid_x_f_tek_d_0_01)))</f>
        <v>0</v>
      </c>
      <c r="AF132" s="338" cm="1">
        <f t="array" ref="AF132">IF(('Tillegg- Inndata Øvrige'!G130) = 0, 0,-0.1*('Tillegg- Inndata Øvrige'!G130)*AI132*('Tillegg- Inndata Øvrige'!E130/'Tillegg- Inndata Øvrige'!G130)*_xlfn.XLOOKUP(51, År_etter_ferdigstillelse,  IF(LEFT('Tillegg- Inndata Øvrige'!B130, 2)= 49, f_tid_x_f_tek_d_0_037, f_tid_x_f_tek_d_0_01)))</f>
        <v>0</v>
      </c>
      <c r="AG132" s="572">
        <f>IF(('Tillegg- Inndata Øvrige'!G130) = 0, 0,'Tillegg- Inndata Øvrige'!X130*Faktorer!$Z$58)</f>
        <v>0</v>
      </c>
      <c r="AH132" s="573">
        <f>IF(('Tillegg- Inndata Øvrige'!G130) = 0, 0,'Tillegg- Inndata Øvrige'!Z130+('Tillegg- Inndata Øvrige'!X130+'Tillegg- Inndata Øvrige'!Y130)*(1-Faktorer!$Z$58)*0.5)</f>
        <v>0</v>
      </c>
      <c r="AI132" s="574">
        <f>IF(('Tillegg- Inndata Øvrige'!G130) = 0, 0,'Tillegg- Inndata Øvrige'!AA130+('Tillegg- Inndata Øvrige'!X130+'Tillegg- Inndata Øvrige'!Y130)*(1-Faktorer!$Z$58)*0.5)</f>
        <v>0</v>
      </c>
      <c r="AK132" s="90">
        <f t="shared" si="2"/>
        <v>0</v>
      </c>
      <c r="AL132" s="91">
        <f>'Tillegg- Res. Det. Øvrige'!N132</f>
        <v>0</v>
      </c>
      <c r="AM132" s="91" t="str">
        <f>IF(F132=0,"",('Tillegg- Inndata Øvrige'!E132+'Tillegg- Inndata Øvrige'!F132)*ROUNDDOWN('Tillegg- Inndata Øvrige'!I132,0)*(1+'Tillegg- Inndata Øvrige'!K132))</f>
        <v/>
      </c>
      <c r="AO132" s="1"/>
    </row>
    <row r="133" spans="2:41">
      <c r="B133" s="327">
        <f>'Tillegg- Inndata Øvrige'!B131</f>
        <v>0</v>
      </c>
      <c r="C133" s="327">
        <f>'Tillegg- Inndata Øvrige'!C131</f>
        <v>0</v>
      </c>
      <c r="D133" s="327">
        <f>'Tillegg- Inndata Øvrige'!D131</f>
        <v>0</v>
      </c>
      <c r="E133" s="421" cm="1">
        <f t="array" ref="E133">SUM(IFERROR(F133:AF133,0))</f>
        <v>0</v>
      </c>
      <c r="F133" s="330">
        <f>'Tillegg- Inndata Øvrige'!E131</f>
        <v>0</v>
      </c>
      <c r="G133" s="330">
        <f>IF('Tillegg- Inndata Øvrige'!AB131="Ja", -0.8*$F133, 0)</f>
        <v>0</v>
      </c>
      <c r="H133" s="330">
        <f>IF('Tillegg- Inndata Øvrige'!AC131="Ja", -0.4*$F133, 0)</f>
        <v>0</v>
      </c>
      <c r="I133" s="330">
        <f>IF('Tillegg- Inndata Øvrige'!AD131="Ja", -1*$F133, 0)</f>
        <v>0</v>
      </c>
      <c r="J133" s="330">
        <f>'Tillegg- Inndata Øvrige'!O131*'Tillegg- Inndata Øvrige'!P131</f>
        <v>0</v>
      </c>
      <c r="K133" s="330">
        <f>MAX(-0.75*(SUM('Tillegg- Res. Det. Øvrige'!F133:J133)),-'Tillegg- Inndata Øvrige'!O131*'Tillegg- Inndata Øvrige'!Q131)</f>
        <v>0</v>
      </c>
      <c r="L133" s="330">
        <f>'Tillegg- Inndata Øvrige'!S131*'Tillegg- Inndata Øvrige'!T131</f>
        <v>0</v>
      </c>
      <c r="M133" s="330">
        <f>MAX(-0.75*(SUM('Tillegg- Res. Det. Øvrige'!F133:I133,L133)),-'Tillegg- Inndata Øvrige'!S131*'Tillegg- Inndata Øvrige'!U131)</f>
        <v>0</v>
      </c>
      <c r="N133" s="331">
        <f>'Tillegg- Inndata Øvrige'!F131</f>
        <v>0</v>
      </c>
      <c r="O133" s="330">
        <f>'Tillegg- Inndata Øvrige'!O131*'Tillegg- Inndata Øvrige'!R131</f>
        <v>0</v>
      </c>
      <c r="P133" s="332">
        <f>'Tillegg- Inndata Øvrige'!S131*'Tillegg- Inndata Øvrige'!V131</f>
        <v>0</v>
      </c>
      <c r="Q133" s="333">
        <f>SUM(F133:J133,L133)*'Tillegg- Inndata Øvrige'!K131</f>
        <v>0</v>
      </c>
      <c r="R133" s="333">
        <f>(K133+M133)*'Tillegg- Inndata Øvrige'!K131</f>
        <v>0</v>
      </c>
      <c r="S133" s="333">
        <f>SUM(N133:P133)*'Tillegg- Inndata Øvrige'!K131</f>
        <v>0</v>
      </c>
      <c r="T133" s="334">
        <f>('Tillegg- Inndata Øvrige'!G131+'Tillegg- Inndata Øvrige'!O131+'Tillegg- Inndata Øvrige'!S131)*'Tillegg- Inndata Øvrige'!K131*Transport_utslipp_til_avfallshånderting_per_kg</f>
        <v>0</v>
      </c>
      <c r="U133" s="330">
        <f>IF('Tillegg- Inndata Øvrige'!E131 = 0, 0, 1.833*'Tillegg- Inndata Øvrige'!X131*'Tillegg- Inndata Øvrige'!K131*('Tillegg- Inndata Øvrige'!G131*('Tillegg- Inndata Øvrige'!L131*0.5+'Tillegg- Inndata Øvrige'!M131*0.8) + (12/44)*('Tillegg- Inndata Øvrige'!O131*'Tillegg- Inndata Øvrige'!Q131+'Tillegg- Inndata Øvrige'!S131*'Tillegg- Inndata Øvrige'!U131)))</f>
        <v>0</v>
      </c>
      <c r="V133" s="335">
        <f>IF('Tillegg- Inndata Øvrige'!G131 = 0, 0,  MAX(-SUM(F133:J133,L133)*'Tillegg- Inndata Øvrige'!L131, -0.114*IF('Tillegg- Inndata Øvrige'!H131 &gt; 49, _xlfn.XLOOKUP(49, År_etter_ferdigstillelse, karbon_opptak_faktor), _xlfn.XLOOKUP('Tillegg- Inndata Øvrige'!H131, År_etter_ferdigstillelse, karbon_opptak_faktor))*'Tillegg- Inndata Øvrige'!G131*'Tillegg- Inndata Øvrige'!L131*0.5))</f>
        <v>0</v>
      </c>
      <c r="W133" s="333">
        <f>IF('Tillegg- Inndata Øvrige'!G131=0,0,IF('Tillegg- Inndata Øvrige'!H131&gt;49,-0.064*'Tillegg- Inndata Øvrige'!G131*'Tillegg- Inndata Øvrige'!N131,-0.037*'Tillegg- Inndata Øvrige'!J131*'Tillegg- Inndata Øvrige'!N131))</f>
        <v>0</v>
      </c>
      <c r="X133" s="331" cm="1">
        <f t="array" ref="X133">IF(SUM(F133:J133,L133)=0, 0, SUM(F133:J133,L133)*(1+'Tillegg-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Y133" s="330" cm="1">
        <f t="array" ref="Y133">IF(X133=0, 0, SUM(K133,M133)*(1+'Tillegg-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Z133" s="336" cm="1">
        <f t="array" ref="Z133">IF(X133=0, 0, SUM(N133:P133)*(1+'Tillegg-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A133" s="336" cm="1">
        <f t="array" ref="AA133">IF(X133=0, 0, ('Tillegg- Inndata Øvrige'!G131+'Tillegg- Inndata Øvrige'!O131+'Tillegg- Inndata Øvrige'!S131)*(1+'Tillegg- Inndata Øvrige'!K131)*Transport_utslipp_til_avfallshånderting_per_kg*IF('Tillegg-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B133" s="334" cm="1">
        <f t="array" ref="AB133">IF(X133=0, 0,1.833*'Tillegg- Inndata Øvrige'!J131*('Tillegg- Inndata Øvrige'!X131*_xlfn.XLOOKUP(IF('Tillegg- Inndata Øvrige'!I131&lt;2,'Tillegg- Inndata Øvrige'!H131,'Tillegg- Inndata Øvrige'!H131*2), År_etter_ferdigstillelse, Faktorer!$Z$7:$Z$58))*('Tillegg- Inndata Øvrige'!L131*0.5+'Tillegg- Inndata Øvrige'!M131*0.8)*_xlfn.XLOOKUP(IF('Tillegg- Inndata Øvrige'!I131&lt;2,'Tillegg- Inndata Øvrige'!H131,'Tillegg- Inndata Øvrige'!H131*2), År_etter_ferdigstillelse,  IF(LEFT('Tillegg- Inndata Øvrige'!B131, 2)= 49, f_tid_x_f_tek_d_0_037, f_tid_x_f_tek_d_0_01)))</f>
        <v>0</v>
      </c>
      <c r="AC133" s="335">
        <f>IF(('Tillegg- Inndata Øvrige'!G131) = 0, 0,('Tillegg- Inndata Øvrige'!G131*((AG133+AI133)*Transport_utslipp_til_avfallshånderting_per_kg)+('Tillegg- Inndata Øvrige'!Z131*'ZERO-B Beregning'!D233)*IF('ZERO-B Beregning'!F234=0,'ZERO-B Beregning'!D234,'ZERO-B Beregning'!F234))*_xlfn.XLOOKUP(51, År_etter_ferdigstillelse, f_tid_x_f_tek_d_0_01))</f>
        <v>0</v>
      </c>
      <c r="AD133" s="337">
        <f>IF(('Tillegg- Inndata Øvrige'!G131) = 0, 0,1.833*('Tillegg- Inndata Øvrige'!G131*('Tillegg- Inndata Øvrige'!L131*0.5+'Tillegg- Inndata Øvrige'!M131*0.8)*AG133*_xlfn.XLOOKUP(51, År_etter_ferdigstillelse,  f_tid_x_f_tek_d_0_01)))</f>
        <v>0</v>
      </c>
      <c r="AE133" s="333" cm="1">
        <f t="array" ref="AE133">IF(('Tillegg- Inndata Øvrige'!G131) = 0, 0,-0.8*('Tillegg- Inndata Øvrige'!G131)*AH133*('Tillegg- Inndata Øvrige'!E131/'Tillegg- Inndata Øvrige'!G131)*_xlfn.XLOOKUP(51, År_etter_ferdigstillelse,  IF(LEFT('Tillegg- Inndata Øvrige'!B131, 2)= 49, f_tid_x_f_tek_d_0_037, f_tid_x_f_tek_d_0_01)))</f>
        <v>0</v>
      </c>
      <c r="AF133" s="338" cm="1">
        <f t="array" ref="AF133">IF(('Tillegg- Inndata Øvrige'!G131) = 0, 0,-0.1*('Tillegg- Inndata Øvrige'!G131)*AI133*('Tillegg- Inndata Øvrige'!E131/'Tillegg- Inndata Øvrige'!G131)*_xlfn.XLOOKUP(51, År_etter_ferdigstillelse,  IF(LEFT('Tillegg- Inndata Øvrige'!B131, 2)= 49, f_tid_x_f_tek_d_0_037, f_tid_x_f_tek_d_0_01)))</f>
        <v>0</v>
      </c>
      <c r="AG133" s="572">
        <f>IF(('Tillegg- Inndata Øvrige'!G131) = 0, 0,'Tillegg- Inndata Øvrige'!X131*Faktorer!$Z$58)</f>
        <v>0</v>
      </c>
      <c r="AH133" s="573">
        <f>IF(('Tillegg- Inndata Øvrige'!G131) = 0, 0,'Tillegg- Inndata Øvrige'!Z131+('Tillegg- Inndata Øvrige'!X131+'Tillegg- Inndata Øvrige'!Y131)*(1-Faktorer!$Z$58)*0.5)</f>
        <v>0</v>
      </c>
      <c r="AI133" s="574">
        <f>IF(('Tillegg- Inndata Øvrige'!G131) = 0, 0,'Tillegg- Inndata Øvrige'!AA131+('Tillegg- Inndata Øvrige'!X131+'Tillegg- Inndata Øvrige'!Y131)*(1-Faktorer!$Z$58)*0.5)</f>
        <v>0</v>
      </c>
      <c r="AK133" s="90">
        <f t="shared" si="2"/>
        <v>0</v>
      </c>
      <c r="AL133" s="91">
        <f>'Tillegg- Res. Det. Øvrige'!N133</f>
        <v>0</v>
      </c>
      <c r="AM133" s="91" t="str">
        <f>IF(F133=0,"",('Tillegg- Inndata Øvrige'!E133+'Tillegg- Inndata Øvrige'!F133)*ROUNDDOWN('Tillegg- Inndata Øvrige'!I133,0)*(1+'Tillegg- Inndata Øvrige'!K133))</f>
        <v/>
      </c>
      <c r="AO133" s="1"/>
    </row>
    <row r="134" spans="2:41">
      <c r="B134" s="327">
        <f>'Tillegg- Inndata Øvrige'!B132</f>
        <v>0</v>
      </c>
      <c r="C134" s="327">
        <f>'Tillegg- Inndata Øvrige'!C132</f>
        <v>0</v>
      </c>
      <c r="D134" s="327">
        <f>'Tillegg- Inndata Øvrige'!D132</f>
        <v>0</v>
      </c>
      <c r="E134" s="421" cm="1">
        <f t="array" ref="E134">SUM(IFERROR(F134:AF134,0))</f>
        <v>0</v>
      </c>
      <c r="F134" s="330">
        <f>'Tillegg- Inndata Øvrige'!E132</f>
        <v>0</v>
      </c>
      <c r="G134" s="330">
        <f>IF('Tillegg- Inndata Øvrige'!AB132="Ja", -0.8*$F134, 0)</f>
        <v>0</v>
      </c>
      <c r="H134" s="330">
        <f>IF('Tillegg- Inndata Øvrige'!AC132="Ja", -0.4*$F134, 0)</f>
        <v>0</v>
      </c>
      <c r="I134" s="330">
        <f>IF('Tillegg- Inndata Øvrige'!AD132="Ja", -1*$F134, 0)</f>
        <v>0</v>
      </c>
      <c r="J134" s="330">
        <f>'Tillegg- Inndata Øvrige'!O132*'Tillegg- Inndata Øvrige'!P132</f>
        <v>0</v>
      </c>
      <c r="K134" s="330">
        <f>MAX(-0.75*(SUM('Tillegg- Res. Det. Øvrige'!F134:J134)),-'Tillegg- Inndata Øvrige'!O132*'Tillegg- Inndata Øvrige'!Q132)</f>
        <v>0</v>
      </c>
      <c r="L134" s="330">
        <f>'Tillegg- Inndata Øvrige'!S132*'Tillegg- Inndata Øvrige'!T132</f>
        <v>0</v>
      </c>
      <c r="M134" s="330">
        <f>MAX(-0.75*(SUM('Tillegg- Res. Det. Øvrige'!F134:I134,L134)),-'Tillegg- Inndata Øvrige'!S132*'Tillegg- Inndata Øvrige'!U132)</f>
        <v>0</v>
      </c>
      <c r="N134" s="331">
        <f>'Tillegg- Inndata Øvrige'!F132</f>
        <v>0</v>
      </c>
      <c r="O134" s="330">
        <f>'Tillegg- Inndata Øvrige'!O132*'Tillegg- Inndata Øvrige'!R132</f>
        <v>0</v>
      </c>
      <c r="P134" s="332">
        <f>'Tillegg- Inndata Øvrige'!S132*'Tillegg- Inndata Øvrige'!V132</f>
        <v>0</v>
      </c>
      <c r="Q134" s="333">
        <f>SUM(F134:J134,L134)*'Tillegg- Inndata Øvrige'!K132</f>
        <v>0</v>
      </c>
      <c r="R134" s="333">
        <f>(K134+M134)*'Tillegg- Inndata Øvrige'!K132</f>
        <v>0</v>
      </c>
      <c r="S134" s="333">
        <f>SUM(N134:P134)*'Tillegg- Inndata Øvrige'!K132</f>
        <v>0</v>
      </c>
      <c r="T134" s="334">
        <f>('Tillegg- Inndata Øvrige'!G132+'Tillegg- Inndata Øvrige'!O132+'Tillegg- Inndata Øvrige'!S132)*'Tillegg- Inndata Øvrige'!K132*Transport_utslipp_til_avfallshånderting_per_kg</f>
        <v>0</v>
      </c>
      <c r="U134" s="330">
        <f>IF('Tillegg- Inndata Øvrige'!E132 = 0, 0, 1.833*'Tillegg- Inndata Øvrige'!X132*'Tillegg- Inndata Øvrige'!K132*('Tillegg- Inndata Øvrige'!G132*('Tillegg- Inndata Øvrige'!L132*0.5+'Tillegg- Inndata Øvrige'!M132*0.8) + (12/44)*('Tillegg- Inndata Øvrige'!O132*'Tillegg- Inndata Øvrige'!Q132+'Tillegg- Inndata Øvrige'!S132*'Tillegg- Inndata Øvrige'!U132)))</f>
        <v>0</v>
      </c>
      <c r="V134" s="335">
        <f>IF('Tillegg- Inndata Øvrige'!G132 = 0, 0,  MAX(-SUM(F134:J134,L134)*'Tillegg- Inndata Øvrige'!L132, -0.114*IF('Tillegg- Inndata Øvrige'!H132 &gt; 49, _xlfn.XLOOKUP(49, År_etter_ferdigstillelse, karbon_opptak_faktor), _xlfn.XLOOKUP('Tillegg- Inndata Øvrige'!H132, År_etter_ferdigstillelse, karbon_opptak_faktor))*'Tillegg- Inndata Øvrige'!G132*'Tillegg- Inndata Øvrige'!L132*0.5))</f>
        <v>0</v>
      </c>
      <c r="W134" s="333">
        <f>IF('Tillegg- Inndata Øvrige'!G132=0,0,IF('Tillegg- Inndata Øvrige'!H132&gt;49,-0.064*'Tillegg- Inndata Øvrige'!G132*'Tillegg- Inndata Øvrige'!N132,-0.037*'Tillegg- Inndata Øvrige'!J132*'Tillegg- Inndata Øvrige'!N132))</f>
        <v>0</v>
      </c>
      <c r="X134" s="331" cm="1">
        <f t="array" ref="X134">IF(SUM(F134:J134,L134)=0, 0, SUM(F134:J134,L134)*(1+'Tillegg-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Y134" s="330" cm="1">
        <f t="array" ref="Y134">IF(X134=0, 0, SUM(K134,M134)*(1+'Tillegg-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Z134" s="336" cm="1">
        <f t="array" ref="Z134">IF(X134=0, 0, SUM(N134:P134)*(1+'Tillegg-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A134" s="336" cm="1">
        <f t="array" ref="AA134">IF(X134=0, 0, ('Tillegg- Inndata Øvrige'!G132+'Tillegg- Inndata Øvrige'!O132+'Tillegg- Inndata Øvrige'!S132)*(1+'Tillegg- Inndata Øvrige'!K132)*Transport_utslipp_til_avfallshånderting_per_kg*IF('Tillegg-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B134" s="334" cm="1">
        <f t="array" ref="AB134">IF(X134=0, 0,1.833*'Tillegg- Inndata Øvrige'!J132*('Tillegg- Inndata Øvrige'!X132*_xlfn.XLOOKUP(IF('Tillegg- Inndata Øvrige'!I132&lt;2,'Tillegg- Inndata Øvrige'!H132,'Tillegg- Inndata Øvrige'!H132*2), År_etter_ferdigstillelse, Faktorer!$Z$7:$Z$58))*('Tillegg- Inndata Øvrige'!L132*0.5+'Tillegg- Inndata Øvrige'!M132*0.8)*_xlfn.XLOOKUP(IF('Tillegg- Inndata Øvrige'!I132&lt;2,'Tillegg- Inndata Øvrige'!H132,'Tillegg- Inndata Øvrige'!H132*2), År_etter_ferdigstillelse,  IF(LEFT('Tillegg- Inndata Øvrige'!B132, 2)= 49, f_tid_x_f_tek_d_0_037, f_tid_x_f_tek_d_0_01)))</f>
        <v>0</v>
      </c>
      <c r="AC134" s="335">
        <f>IF(('Tillegg- Inndata Øvrige'!G132) = 0, 0,('Tillegg- Inndata Øvrige'!G132*((AG134+AI134)*Transport_utslipp_til_avfallshånderting_per_kg)+('Tillegg- Inndata Øvrige'!Z132*'ZERO-B Beregning'!D234)*IF('ZERO-B Beregning'!F235=0,'ZERO-B Beregning'!D235,'ZERO-B Beregning'!F235))*_xlfn.XLOOKUP(51, År_etter_ferdigstillelse, f_tid_x_f_tek_d_0_01))</f>
        <v>0</v>
      </c>
      <c r="AD134" s="337">
        <f>IF(('Tillegg- Inndata Øvrige'!G132) = 0, 0,1.833*('Tillegg- Inndata Øvrige'!G132*('Tillegg- Inndata Øvrige'!L132*0.5+'Tillegg- Inndata Øvrige'!M132*0.8)*AG134*_xlfn.XLOOKUP(51, År_etter_ferdigstillelse,  f_tid_x_f_tek_d_0_01)))</f>
        <v>0</v>
      </c>
      <c r="AE134" s="333" cm="1">
        <f t="array" ref="AE134">IF(('Tillegg- Inndata Øvrige'!G132) = 0, 0,-0.8*('Tillegg- Inndata Øvrige'!G132)*AH134*('Tillegg- Inndata Øvrige'!E132/'Tillegg- Inndata Øvrige'!G132)*_xlfn.XLOOKUP(51, År_etter_ferdigstillelse,  IF(LEFT('Tillegg- Inndata Øvrige'!B132, 2)= 49, f_tid_x_f_tek_d_0_037, f_tid_x_f_tek_d_0_01)))</f>
        <v>0</v>
      </c>
      <c r="AF134" s="338" cm="1">
        <f t="array" ref="AF134">IF(('Tillegg- Inndata Øvrige'!G132) = 0, 0,-0.1*('Tillegg- Inndata Øvrige'!G132)*AI134*('Tillegg- Inndata Øvrige'!E132/'Tillegg- Inndata Øvrige'!G132)*_xlfn.XLOOKUP(51, År_etter_ferdigstillelse,  IF(LEFT('Tillegg- Inndata Øvrige'!B132, 2)= 49, f_tid_x_f_tek_d_0_037, f_tid_x_f_tek_d_0_01)))</f>
        <v>0</v>
      </c>
      <c r="AG134" s="572">
        <f>IF(('Tillegg- Inndata Øvrige'!G132) = 0, 0,'Tillegg- Inndata Øvrige'!X132*Faktorer!$Z$58)</f>
        <v>0</v>
      </c>
      <c r="AH134" s="573">
        <f>IF(('Tillegg- Inndata Øvrige'!G132) = 0, 0,'Tillegg- Inndata Øvrige'!Z132+('Tillegg- Inndata Øvrige'!X132+'Tillegg- Inndata Øvrige'!Y132)*(1-Faktorer!$Z$58)*0.5)</f>
        <v>0</v>
      </c>
      <c r="AI134" s="574">
        <f>IF(('Tillegg- Inndata Øvrige'!G132) = 0, 0,'Tillegg- Inndata Øvrige'!AA132+('Tillegg- Inndata Øvrige'!X132+'Tillegg- Inndata Øvrige'!Y132)*(1-Faktorer!$Z$58)*0.5)</f>
        <v>0</v>
      </c>
      <c r="AK134" s="90">
        <f t="shared" si="2"/>
        <v>0</v>
      </c>
      <c r="AL134" s="91">
        <f>'Tillegg- Res. Det. Øvrige'!N134</f>
        <v>0</v>
      </c>
      <c r="AM134" s="91" t="str">
        <f>IF(F134=0,"",('Tillegg- Inndata Øvrige'!E134+'Tillegg- Inndata Øvrige'!F134)*ROUNDDOWN('Tillegg- Inndata Øvrige'!I134,0)*(1+'Tillegg- Inndata Øvrige'!K134))</f>
        <v/>
      </c>
      <c r="AO134" s="1"/>
    </row>
    <row r="135" spans="2:41">
      <c r="B135" s="327">
        <f>'Tillegg- Inndata Øvrige'!B133</f>
        <v>0</v>
      </c>
      <c r="C135" s="327">
        <f>'Tillegg- Inndata Øvrige'!C133</f>
        <v>0</v>
      </c>
      <c r="D135" s="327">
        <f>'Tillegg- Inndata Øvrige'!D133</f>
        <v>0</v>
      </c>
      <c r="E135" s="421" cm="1">
        <f t="array" ref="E135">SUM(IFERROR(F135:AF135,0))</f>
        <v>0</v>
      </c>
      <c r="F135" s="330">
        <f>'Tillegg- Inndata Øvrige'!E133</f>
        <v>0</v>
      </c>
      <c r="G135" s="330">
        <f>IF('Tillegg- Inndata Øvrige'!AB133="Ja", -0.8*$F135, 0)</f>
        <v>0</v>
      </c>
      <c r="H135" s="330">
        <f>IF('Tillegg- Inndata Øvrige'!AC133="Ja", -0.4*$F135, 0)</f>
        <v>0</v>
      </c>
      <c r="I135" s="330">
        <f>IF('Tillegg- Inndata Øvrige'!AD133="Ja", -1*$F135, 0)</f>
        <v>0</v>
      </c>
      <c r="J135" s="330">
        <f>'Tillegg- Inndata Øvrige'!O133*'Tillegg- Inndata Øvrige'!P133</f>
        <v>0</v>
      </c>
      <c r="K135" s="330">
        <f>MAX(-0.75*(SUM('Tillegg- Res. Det. Øvrige'!F135:J135)),-'Tillegg- Inndata Øvrige'!O133*'Tillegg- Inndata Øvrige'!Q133)</f>
        <v>0</v>
      </c>
      <c r="L135" s="330">
        <f>'Tillegg- Inndata Øvrige'!S133*'Tillegg- Inndata Øvrige'!T133</f>
        <v>0</v>
      </c>
      <c r="M135" s="330">
        <f>MAX(-0.75*(SUM('Tillegg- Res. Det. Øvrige'!F135:I135,L135)),-'Tillegg- Inndata Øvrige'!S133*'Tillegg- Inndata Øvrige'!U133)</f>
        <v>0</v>
      </c>
      <c r="N135" s="331">
        <f>'Tillegg- Inndata Øvrige'!F133</f>
        <v>0</v>
      </c>
      <c r="O135" s="330">
        <f>'Tillegg- Inndata Øvrige'!O133*'Tillegg- Inndata Øvrige'!R133</f>
        <v>0</v>
      </c>
      <c r="P135" s="332">
        <f>'Tillegg- Inndata Øvrige'!S133*'Tillegg- Inndata Øvrige'!V133</f>
        <v>0</v>
      </c>
      <c r="Q135" s="333">
        <f>SUM(F135:J135,L135)*'Tillegg- Inndata Øvrige'!K133</f>
        <v>0</v>
      </c>
      <c r="R135" s="333">
        <f>(K135+M135)*'Tillegg- Inndata Øvrige'!K133</f>
        <v>0</v>
      </c>
      <c r="S135" s="333">
        <f>SUM(N135:P135)*'Tillegg- Inndata Øvrige'!K133</f>
        <v>0</v>
      </c>
      <c r="T135" s="334">
        <f>('Tillegg- Inndata Øvrige'!G133+'Tillegg- Inndata Øvrige'!O133+'Tillegg- Inndata Øvrige'!S133)*'Tillegg- Inndata Øvrige'!K133*Transport_utslipp_til_avfallshånderting_per_kg</f>
        <v>0</v>
      </c>
      <c r="U135" s="330">
        <f>IF('Tillegg- Inndata Øvrige'!E133 = 0, 0, 1.833*'Tillegg- Inndata Øvrige'!X133*'Tillegg- Inndata Øvrige'!K133*('Tillegg- Inndata Øvrige'!G133*('Tillegg- Inndata Øvrige'!L133*0.5+'Tillegg- Inndata Øvrige'!M133*0.8) + (12/44)*('Tillegg- Inndata Øvrige'!O133*'Tillegg- Inndata Øvrige'!Q133+'Tillegg- Inndata Øvrige'!S133*'Tillegg- Inndata Øvrige'!U133)))</f>
        <v>0</v>
      </c>
      <c r="V135" s="335">
        <f>IF('Tillegg- Inndata Øvrige'!G133 = 0, 0,  MAX(-SUM(F135:J135,L135)*'Tillegg- Inndata Øvrige'!L133, -0.114*IF('Tillegg- Inndata Øvrige'!H133 &gt; 49, _xlfn.XLOOKUP(49, År_etter_ferdigstillelse, karbon_opptak_faktor), _xlfn.XLOOKUP('Tillegg- Inndata Øvrige'!H133, År_etter_ferdigstillelse, karbon_opptak_faktor))*'Tillegg- Inndata Øvrige'!G133*'Tillegg- Inndata Øvrige'!L133*0.5))</f>
        <v>0</v>
      </c>
      <c r="W135" s="333">
        <f>IF('Tillegg- Inndata Øvrige'!G133=0,0,IF('Tillegg- Inndata Øvrige'!H133&gt;49,-0.064*'Tillegg- Inndata Øvrige'!G133*'Tillegg- Inndata Øvrige'!N133,-0.037*'Tillegg- Inndata Øvrige'!J133*'Tillegg- Inndata Øvrige'!N133))</f>
        <v>0</v>
      </c>
      <c r="X135" s="331" cm="1">
        <f t="array" ref="X135">IF(SUM(F135:J135,L135)=0, 0, SUM(F135:J135,L135)*(1+'Tillegg-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Y135" s="330" cm="1">
        <f t="array" ref="Y135">IF(X135=0, 0, SUM(K135,M135)*(1+'Tillegg-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Z135" s="336" cm="1">
        <f t="array" ref="Z135">IF(X135=0, 0, SUM(N135:P135)*(1+'Tillegg-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A135" s="336" cm="1">
        <f t="array" ref="AA135">IF(X135=0, 0, ('Tillegg- Inndata Øvrige'!G133+'Tillegg- Inndata Øvrige'!O133+'Tillegg- Inndata Øvrige'!S133)*(1+'Tillegg- Inndata Øvrige'!K133)*Transport_utslipp_til_avfallshånderting_per_kg*IF('Tillegg-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B135" s="334" cm="1">
        <f t="array" ref="AB135">IF(X135=0, 0,1.833*'Tillegg- Inndata Øvrige'!J133*('Tillegg- Inndata Øvrige'!X133*_xlfn.XLOOKUP(IF('Tillegg- Inndata Øvrige'!I133&lt;2,'Tillegg- Inndata Øvrige'!H133,'Tillegg- Inndata Øvrige'!H133*2), År_etter_ferdigstillelse, Faktorer!$Z$7:$Z$58))*('Tillegg- Inndata Øvrige'!L133*0.5+'Tillegg- Inndata Øvrige'!M133*0.8)*_xlfn.XLOOKUP(IF('Tillegg- Inndata Øvrige'!I133&lt;2,'Tillegg- Inndata Øvrige'!H133,'Tillegg- Inndata Øvrige'!H133*2), År_etter_ferdigstillelse,  IF(LEFT('Tillegg- Inndata Øvrige'!B133, 2)= 49, f_tid_x_f_tek_d_0_037, f_tid_x_f_tek_d_0_01)))</f>
        <v>0</v>
      </c>
      <c r="AC135" s="335">
        <f>IF(('Tillegg- Inndata Øvrige'!G133) = 0, 0,('Tillegg- Inndata Øvrige'!G133*((AG135+AI135)*Transport_utslipp_til_avfallshånderting_per_kg)+('Tillegg- Inndata Øvrige'!Z133*'ZERO-B Beregning'!D235)*IF('ZERO-B Beregning'!F236=0,'ZERO-B Beregning'!D236,'ZERO-B Beregning'!F236))*_xlfn.XLOOKUP(51, År_etter_ferdigstillelse, f_tid_x_f_tek_d_0_01))</f>
        <v>0</v>
      </c>
      <c r="AD135" s="337">
        <f>IF(('Tillegg- Inndata Øvrige'!G133) = 0, 0,1.833*('Tillegg- Inndata Øvrige'!G133*('Tillegg- Inndata Øvrige'!L133*0.5+'Tillegg- Inndata Øvrige'!M133*0.8)*AG135*_xlfn.XLOOKUP(51, År_etter_ferdigstillelse,  f_tid_x_f_tek_d_0_01)))</f>
        <v>0</v>
      </c>
      <c r="AE135" s="333" cm="1">
        <f t="array" ref="AE135">IF(('Tillegg- Inndata Øvrige'!G133) = 0, 0,-0.8*('Tillegg- Inndata Øvrige'!G133)*AH135*('Tillegg- Inndata Øvrige'!E133/'Tillegg- Inndata Øvrige'!G133)*_xlfn.XLOOKUP(51, År_etter_ferdigstillelse,  IF(LEFT('Tillegg- Inndata Øvrige'!B133, 2)= 49, f_tid_x_f_tek_d_0_037, f_tid_x_f_tek_d_0_01)))</f>
        <v>0</v>
      </c>
      <c r="AF135" s="338" cm="1">
        <f t="array" ref="AF135">IF(('Tillegg- Inndata Øvrige'!G133) = 0, 0,-0.1*('Tillegg- Inndata Øvrige'!G133)*AI135*('Tillegg- Inndata Øvrige'!E133/'Tillegg- Inndata Øvrige'!G133)*_xlfn.XLOOKUP(51, År_etter_ferdigstillelse,  IF(LEFT('Tillegg- Inndata Øvrige'!B133, 2)= 49, f_tid_x_f_tek_d_0_037, f_tid_x_f_tek_d_0_01)))</f>
        <v>0</v>
      </c>
      <c r="AG135" s="572">
        <f>IF(('Tillegg- Inndata Øvrige'!G133) = 0, 0,'Tillegg- Inndata Øvrige'!X133*Faktorer!$Z$58)</f>
        <v>0</v>
      </c>
      <c r="AH135" s="573">
        <f>IF(('Tillegg- Inndata Øvrige'!G133) = 0, 0,'Tillegg- Inndata Øvrige'!Z133+('Tillegg- Inndata Øvrige'!X133+'Tillegg- Inndata Øvrige'!Y133)*(1-Faktorer!$Z$58)*0.5)</f>
        <v>0</v>
      </c>
      <c r="AI135" s="574">
        <f>IF(('Tillegg- Inndata Øvrige'!G133) = 0, 0,'Tillegg- Inndata Øvrige'!AA133+('Tillegg- Inndata Øvrige'!X133+'Tillegg- Inndata Øvrige'!Y133)*(1-Faktorer!$Z$58)*0.5)</f>
        <v>0</v>
      </c>
      <c r="AK135" s="90">
        <f t="shared" si="2"/>
        <v>0</v>
      </c>
      <c r="AL135" s="91">
        <f>'Tillegg- Res. Det. Øvrige'!N135</f>
        <v>0</v>
      </c>
      <c r="AM135" s="91" t="str">
        <f>IF(F135=0,"",('Tillegg- Inndata Øvrige'!E135+'Tillegg- Inndata Øvrige'!F135)*ROUNDDOWN('Tillegg- Inndata Øvrige'!I135,0)*(1+'Tillegg- Inndata Øvrige'!K135))</f>
        <v/>
      </c>
      <c r="AO135" s="1"/>
    </row>
    <row r="136" spans="2:41">
      <c r="B136" s="327">
        <f>'Tillegg- Inndata Øvrige'!B134</f>
        <v>0</v>
      </c>
      <c r="C136" s="327">
        <f>'Tillegg- Inndata Øvrige'!C134</f>
        <v>0</v>
      </c>
      <c r="D136" s="327">
        <f>'Tillegg- Inndata Øvrige'!D134</f>
        <v>0</v>
      </c>
      <c r="E136" s="421" cm="1">
        <f t="array" ref="E136">SUM(IFERROR(F136:AF136,0))</f>
        <v>0</v>
      </c>
      <c r="F136" s="330">
        <f>'Tillegg- Inndata Øvrige'!E134</f>
        <v>0</v>
      </c>
      <c r="G136" s="330">
        <f>IF('Tillegg- Inndata Øvrige'!AB134="Ja", -0.8*$F136, 0)</f>
        <v>0</v>
      </c>
      <c r="H136" s="330">
        <f>IF('Tillegg- Inndata Øvrige'!AC134="Ja", -0.4*$F136, 0)</f>
        <v>0</v>
      </c>
      <c r="I136" s="330">
        <f>IF('Tillegg- Inndata Øvrige'!AD134="Ja", -1*$F136, 0)</f>
        <v>0</v>
      </c>
      <c r="J136" s="330">
        <f>'Tillegg- Inndata Øvrige'!O134*'Tillegg- Inndata Øvrige'!P134</f>
        <v>0</v>
      </c>
      <c r="K136" s="330">
        <f>MAX(-0.75*(SUM('Tillegg- Res. Det. Øvrige'!F136:J136)),-'Tillegg- Inndata Øvrige'!O134*'Tillegg- Inndata Øvrige'!Q134)</f>
        <v>0</v>
      </c>
      <c r="L136" s="330">
        <f>'Tillegg- Inndata Øvrige'!S134*'Tillegg- Inndata Øvrige'!T134</f>
        <v>0</v>
      </c>
      <c r="M136" s="330">
        <f>MAX(-0.75*(SUM('Tillegg- Res. Det. Øvrige'!F136:I136,L136)),-'Tillegg- Inndata Øvrige'!S134*'Tillegg- Inndata Øvrige'!U134)</f>
        <v>0</v>
      </c>
      <c r="N136" s="331">
        <f>'Tillegg- Inndata Øvrige'!F134</f>
        <v>0</v>
      </c>
      <c r="O136" s="330">
        <f>'Tillegg- Inndata Øvrige'!O134*'Tillegg- Inndata Øvrige'!R134</f>
        <v>0</v>
      </c>
      <c r="P136" s="332">
        <f>'Tillegg- Inndata Øvrige'!S134*'Tillegg- Inndata Øvrige'!V134</f>
        <v>0</v>
      </c>
      <c r="Q136" s="333">
        <f>SUM(F136:J136,L136)*'Tillegg- Inndata Øvrige'!K134</f>
        <v>0</v>
      </c>
      <c r="R136" s="333">
        <f>(K136+M136)*'Tillegg- Inndata Øvrige'!K134</f>
        <v>0</v>
      </c>
      <c r="S136" s="333">
        <f>SUM(N136:P136)*'Tillegg- Inndata Øvrige'!K134</f>
        <v>0</v>
      </c>
      <c r="T136" s="334">
        <f>('Tillegg- Inndata Øvrige'!G134+'Tillegg- Inndata Øvrige'!O134+'Tillegg- Inndata Øvrige'!S134)*'Tillegg- Inndata Øvrige'!K134*Transport_utslipp_til_avfallshånderting_per_kg</f>
        <v>0</v>
      </c>
      <c r="U136" s="330">
        <f>IF('Tillegg- Inndata Øvrige'!E134 = 0, 0, 1.833*'Tillegg- Inndata Øvrige'!X134*'Tillegg- Inndata Øvrige'!K134*('Tillegg- Inndata Øvrige'!G134*('Tillegg- Inndata Øvrige'!L134*0.5+'Tillegg- Inndata Øvrige'!M134*0.8) + (12/44)*('Tillegg- Inndata Øvrige'!O134*'Tillegg- Inndata Øvrige'!Q134+'Tillegg- Inndata Øvrige'!S134*'Tillegg- Inndata Øvrige'!U134)))</f>
        <v>0</v>
      </c>
      <c r="V136" s="335">
        <f>IF('Tillegg- Inndata Øvrige'!G134 = 0, 0,  MAX(-SUM(F136:J136,L136)*'Tillegg- Inndata Øvrige'!L134, -0.114*IF('Tillegg- Inndata Øvrige'!H134 &gt; 49, _xlfn.XLOOKUP(49, År_etter_ferdigstillelse, karbon_opptak_faktor), _xlfn.XLOOKUP('Tillegg- Inndata Øvrige'!H134, År_etter_ferdigstillelse, karbon_opptak_faktor))*'Tillegg- Inndata Øvrige'!G134*'Tillegg- Inndata Øvrige'!L134*0.5))</f>
        <v>0</v>
      </c>
      <c r="W136" s="333">
        <f>IF('Tillegg- Inndata Øvrige'!G134=0,0,IF('Tillegg- Inndata Øvrige'!H134&gt;49,-0.064*'Tillegg- Inndata Øvrige'!G134*'Tillegg- Inndata Øvrige'!N134,-0.037*'Tillegg- Inndata Øvrige'!J134*'Tillegg- Inndata Øvrige'!N134))</f>
        <v>0</v>
      </c>
      <c r="X136" s="331" cm="1">
        <f t="array" ref="X136">IF(SUM(F136:J136,L136)=0, 0, SUM(F136:J136,L136)*(1+'Tillegg-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Y136" s="330" cm="1">
        <f t="array" ref="Y136">IF(X136=0, 0, SUM(K136,M136)*(1+'Tillegg-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Z136" s="336" cm="1">
        <f t="array" ref="Z136">IF(X136=0, 0, SUM(N136:P136)*(1+'Tillegg-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A136" s="336" cm="1">
        <f t="array" ref="AA136">IF(X136=0, 0, ('Tillegg- Inndata Øvrige'!G134+'Tillegg- Inndata Øvrige'!O134+'Tillegg- Inndata Øvrige'!S134)*(1+'Tillegg- Inndata Øvrige'!K134)*Transport_utslipp_til_avfallshånderting_per_kg*IF('Tillegg-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B136" s="334" cm="1">
        <f t="array" ref="AB136">IF(X136=0, 0,1.833*'Tillegg- Inndata Øvrige'!J134*('Tillegg- Inndata Øvrige'!X134*_xlfn.XLOOKUP(IF('Tillegg- Inndata Øvrige'!I134&lt;2,'Tillegg- Inndata Øvrige'!H134,'Tillegg- Inndata Øvrige'!H134*2), År_etter_ferdigstillelse, Faktorer!$Z$7:$Z$58))*('Tillegg- Inndata Øvrige'!L134*0.5+'Tillegg- Inndata Øvrige'!M134*0.8)*_xlfn.XLOOKUP(IF('Tillegg- Inndata Øvrige'!I134&lt;2,'Tillegg- Inndata Øvrige'!H134,'Tillegg- Inndata Øvrige'!H134*2), År_etter_ferdigstillelse,  IF(LEFT('Tillegg- Inndata Øvrige'!B134, 2)= 49, f_tid_x_f_tek_d_0_037, f_tid_x_f_tek_d_0_01)))</f>
        <v>0</v>
      </c>
      <c r="AC136" s="335">
        <f>IF(('Tillegg- Inndata Øvrige'!G134) = 0, 0,('Tillegg- Inndata Øvrige'!G134*((AG136+AI136)*Transport_utslipp_til_avfallshånderting_per_kg)+('Tillegg- Inndata Øvrige'!Z134*'ZERO-B Beregning'!D236)*IF('ZERO-B Beregning'!F237=0,'ZERO-B Beregning'!D237,'ZERO-B Beregning'!F237))*_xlfn.XLOOKUP(51, År_etter_ferdigstillelse, f_tid_x_f_tek_d_0_01))</f>
        <v>0</v>
      </c>
      <c r="AD136" s="337">
        <f>IF(('Tillegg- Inndata Øvrige'!G134) = 0, 0,1.833*('Tillegg- Inndata Øvrige'!G134*('Tillegg- Inndata Øvrige'!L134*0.5+'Tillegg- Inndata Øvrige'!M134*0.8)*AG136*_xlfn.XLOOKUP(51, År_etter_ferdigstillelse,  f_tid_x_f_tek_d_0_01)))</f>
        <v>0</v>
      </c>
      <c r="AE136" s="333" cm="1">
        <f t="array" ref="AE136">IF(('Tillegg- Inndata Øvrige'!G134) = 0, 0,-0.8*('Tillegg- Inndata Øvrige'!G134)*AH136*('Tillegg- Inndata Øvrige'!E134/'Tillegg- Inndata Øvrige'!G134)*_xlfn.XLOOKUP(51, År_etter_ferdigstillelse,  IF(LEFT('Tillegg- Inndata Øvrige'!B134, 2)= 49, f_tid_x_f_tek_d_0_037, f_tid_x_f_tek_d_0_01)))</f>
        <v>0</v>
      </c>
      <c r="AF136" s="338" cm="1">
        <f t="array" ref="AF136">IF(('Tillegg- Inndata Øvrige'!G134) = 0, 0,-0.1*('Tillegg- Inndata Øvrige'!G134)*AI136*('Tillegg- Inndata Øvrige'!E134/'Tillegg- Inndata Øvrige'!G134)*_xlfn.XLOOKUP(51, År_etter_ferdigstillelse,  IF(LEFT('Tillegg- Inndata Øvrige'!B134, 2)= 49, f_tid_x_f_tek_d_0_037, f_tid_x_f_tek_d_0_01)))</f>
        <v>0</v>
      </c>
      <c r="AG136" s="572">
        <f>IF(('Tillegg- Inndata Øvrige'!G134) = 0, 0,'Tillegg- Inndata Øvrige'!X134*Faktorer!$Z$58)</f>
        <v>0</v>
      </c>
      <c r="AH136" s="573">
        <f>IF(('Tillegg- Inndata Øvrige'!G134) = 0, 0,'Tillegg- Inndata Øvrige'!Z134+('Tillegg- Inndata Øvrige'!X134+'Tillegg- Inndata Øvrige'!Y134)*(1-Faktorer!$Z$58)*0.5)</f>
        <v>0</v>
      </c>
      <c r="AI136" s="574">
        <f>IF(('Tillegg- Inndata Øvrige'!G134) = 0, 0,'Tillegg- Inndata Øvrige'!AA134+('Tillegg- Inndata Øvrige'!X134+'Tillegg- Inndata Øvrige'!Y134)*(1-Faktorer!$Z$58)*0.5)</f>
        <v>0</v>
      </c>
      <c r="AK136" s="90">
        <f t="shared" si="2"/>
        <v>0</v>
      </c>
      <c r="AL136" s="91">
        <f>'Tillegg- Res. Det. Øvrige'!N136</f>
        <v>0</v>
      </c>
      <c r="AM136" s="91" t="str">
        <f>IF(F136=0,"",('Tillegg- Inndata Øvrige'!E136+'Tillegg- Inndata Øvrige'!F136)*ROUNDDOWN('Tillegg- Inndata Øvrige'!I136,0)*(1+'Tillegg- Inndata Øvrige'!K136))</f>
        <v/>
      </c>
      <c r="AO136" s="1"/>
    </row>
    <row r="137" spans="2:41">
      <c r="B137" s="327">
        <f>'Tillegg- Inndata Øvrige'!B135</f>
        <v>0</v>
      </c>
      <c r="C137" s="327">
        <f>'Tillegg- Inndata Øvrige'!C135</f>
        <v>0</v>
      </c>
      <c r="D137" s="327">
        <f>'Tillegg- Inndata Øvrige'!D135</f>
        <v>0</v>
      </c>
      <c r="E137" s="421" cm="1">
        <f t="array" ref="E137">SUM(IFERROR(F137:AF137,0))</f>
        <v>0</v>
      </c>
      <c r="F137" s="330">
        <f>'Tillegg- Inndata Øvrige'!E135</f>
        <v>0</v>
      </c>
      <c r="G137" s="330">
        <f>IF('Tillegg- Inndata Øvrige'!AB135="Ja", -0.8*$F137, 0)</f>
        <v>0</v>
      </c>
      <c r="H137" s="330">
        <f>IF('Tillegg- Inndata Øvrige'!AC135="Ja", -0.4*$F137, 0)</f>
        <v>0</v>
      </c>
      <c r="I137" s="330">
        <f>IF('Tillegg- Inndata Øvrige'!AD135="Ja", -1*$F137, 0)</f>
        <v>0</v>
      </c>
      <c r="J137" s="330">
        <f>'Tillegg- Inndata Øvrige'!O135*'Tillegg- Inndata Øvrige'!P135</f>
        <v>0</v>
      </c>
      <c r="K137" s="330">
        <f>MAX(-0.75*(SUM('Tillegg- Res. Det. Øvrige'!F137:J137)),-'Tillegg- Inndata Øvrige'!O135*'Tillegg- Inndata Øvrige'!Q135)</f>
        <v>0</v>
      </c>
      <c r="L137" s="330">
        <f>'Tillegg- Inndata Øvrige'!S135*'Tillegg- Inndata Øvrige'!T135</f>
        <v>0</v>
      </c>
      <c r="M137" s="330">
        <f>MAX(-0.75*(SUM('Tillegg- Res. Det. Øvrige'!F137:I137,L137)),-'Tillegg- Inndata Øvrige'!S135*'Tillegg- Inndata Øvrige'!U135)</f>
        <v>0</v>
      </c>
      <c r="N137" s="331">
        <f>'Tillegg- Inndata Øvrige'!F135</f>
        <v>0</v>
      </c>
      <c r="O137" s="330">
        <f>'Tillegg- Inndata Øvrige'!O135*'Tillegg- Inndata Øvrige'!R135</f>
        <v>0</v>
      </c>
      <c r="P137" s="332">
        <f>'Tillegg- Inndata Øvrige'!S135*'Tillegg- Inndata Øvrige'!V135</f>
        <v>0</v>
      </c>
      <c r="Q137" s="333">
        <f>SUM(F137:J137,L137)*'Tillegg- Inndata Øvrige'!K135</f>
        <v>0</v>
      </c>
      <c r="R137" s="333">
        <f>(K137+M137)*'Tillegg- Inndata Øvrige'!K135</f>
        <v>0</v>
      </c>
      <c r="S137" s="333">
        <f>SUM(N137:P137)*'Tillegg- Inndata Øvrige'!K135</f>
        <v>0</v>
      </c>
      <c r="T137" s="334">
        <f>('Tillegg- Inndata Øvrige'!G135+'Tillegg- Inndata Øvrige'!O135+'Tillegg- Inndata Øvrige'!S135)*'Tillegg- Inndata Øvrige'!K135*Transport_utslipp_til_avfallshånderting_per_kg</f>
        <v>0</v>
      </c>
      <c r="U137" s="330">
        <f>IF('Tillegg- Inndata Øvrige'!E135 = 0, 0, 1.833*'Tillegg- Inndata Øvrige'!X135*'Tillegg- Inndata Øvrige'!K135*('Tillegg- Inndata Øvrige'!G135*('Tillegg- Inndata Øvrige'!L135*0.5+'Tillegg- Inndata Øvrige'!M135*0.8) + (12/44)*('Tillegg- Inndata Øvrige'!O135*'Tillegg- Inndata Øvrige'!Q135+'Tillegg- Inndata Øvrige'!S135*'Tillegg- Inndata Øvrige'!U135)))</f>
        <v>0</v>
      </c>
      <c r="V137" s="335">
        <f>IF('Tillegg- Inndata Øvrige'!G135 = 0, 0,  MAX(-SUM(F137:J137,L137)*'Tillegg- Inndata Øvrige'!L135, -0.114*IF('Tillegg- Inndata Øvrige'!H135 &gt; 49, _xlfn.XLOOKUP(49, År_etter_ferdigstillelse, karbon_opptak_faktor), _xlfn.XLOOKUP('Tillegg- Inndata Øvrige'!H135, År_etter_ferdigstillelse, karbon_opptak_faktor))*'Tillegg- Inndata Øvrige'!G135*'Tillegg- Inndata Øvrige'!L135*0.5))</f>
        <v>0</v>
      </c>
      <c r="W137" s="333">
        <f>IF('Tillegg- Inndata Øvrige'!G135=0,0,IF('Tillegg- Inndata Øvrige'!H135&gt;49,-0.064*'Tillegg- Inndata Øvrige'!G135*'Tillegg- Inndata Øvrige'!N135,-0.037*'Tillegg- Inndata Øvrige'!J135*'Tillegg- Inndata Øvrige'!N135))</f>
        <v>0</v>
      </c>
      <c r="X137" s="331" cm="1">
        <f t="array" ref="X137">IF(SUM(F137:J137,L137)=0, 0, SUM(F137:J137,L137)*(1+'Tillegg-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Y137" s="330" cm="1">
        <f t="array" ref="Y137">IF(X137=0, 0, SUM(K137,M137)*(1+'Tillegg-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Z137" s="336" cm="1">
        <f t="array" ref="Z137">IF(X137=0, 0, SUM(N137:P137)*(1+'Tillegg-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A137" s="336" cm="1">
        <f t="array" ref="AA137">IF(X137=0, 0, ('Tillegg- Inndata Øvrige'!G135+'Tillegg- Inndata Øvrige'!O135+'Tillegg- Inndata Øvrige'!S135)*(1+'Tillegg- Inndata Øvrige'!K135)*Transport_utslipp_til_avfallshånderting_per_kg*IF('Tillegg-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B137" s="334" cm="1">
        <f t="array" ref="AB137">IF(X137=0, 0,1.833*'Tillegg- Inndata Øvrige'!J135*('Tillegg- Inndata Øvrige'!X135*_xlfn.XLOOKUP(IF('Tillegg- Inndata Øvrige'!I135&lt;2,'Tillegg- Inndata Øvrige'!H135,'Tillegg- Inndata Øvrige'!H135*2), År_etter_ferdigstillelse, Faktorer!$Z$7:$Z$58))*('Tillegg- Inndata Øvrige'!L135*0.5+'Tillegg- Inndata Øvrige'!M135*0.8)*_xlfn.XLOOKUP(IF('Tillegg- Inndata Øvrige'!I135&lt;2,'Tillegg- Inndata Øvrige'!H135,'Tillegg- Inndata Øvrige'!H135*2), År_etter_ferdigstillelse,  IF(LEFT('Tillegg- Inndata Øvrige'!B135, 2)= 49, f_tid_x_f_tek_d_0_037, f_tid_x_f_tek_d_0_01)))</f>
        <v>0</v>
      </c>
      <c r="AC137" s="335">
        <f>IF(('Tillegg- Inndata Øvrige'!G135) = 0, 0,('Tillegg- Inndata Øvrige'!G135*((AG137+AI137)*Transport_utslipp_til_avfallshånderting_per_kg)+('Tillegg- Inndata Øvrige'!Z135*'ZERO-B Beregning'!D237)*IF('ZERO-B Beregning'!F238=0,'ZERO-B Beregning'!D238,'ZERO-B Beregning'!F238))*_xlfn.XLOOKUP(51, År_etter_ferdigstillelse, f_tid_x_f_tek_d_0_01))</f>
        <v>0</v>
      </c>
      <c r="AD137" s="337">
        <f>IF(('Tillegg- Inndata Øvrige'!G135) = 0, 0,1.833*('Tillegg- Inndata Øvrige'!G135*('Tillegg- Inndata Øvrige'!L135*0.5+'Tillegg- Inndata Øvrige'!M135*0.8)*AG137*_xlfn.XLOOKUP(51, År_etter_ferdigstillelse,  f_tid_x_f_tek_d_0_01)))</f>
        <v>0</v>
      </c>
      <c r="AE137" s="333" cm="1">
        <f t="array" ref="AE137">IF(('Tillegg- Inndata Øvrige'!G135) = 0, 0,-0.8*('Tillegg- Inndata Øvrige'!G135)*AH137*('Tillegg- Inndata Øvrige'!E135/'Tillegg- Inndata Øvrige'!G135)*_xlfn.XLOOKUP(51, År_etter_ferdigstillelse,  IF(LEFT('Tillegg- Inndata Øvrige'!B135, 2)= 49, f_tid_x_f_tek_d_0_037, f_tid_x_f_tek_d_0_01)))</f>
        <v>0</v>
      </c>
      <c r="AF137" s="338" cm="1">
        <f t="array" ref="AF137">IF(('Tillegg- Inndata Øvrige'!G135) = 0, 0,-0.1*('Tillegg- Inndata Øvrige'!G135)*AI137*('Tillegg- Inndata Øvrige'!E135/'Tillegg- Inndata Øvrige'!G135)*_xlfn.XLOOKUP(51, År_etter_ferdigstillelse,  IF(LEFT('Tillegg- Inndata Øvrige'!B135, 2)= 49, f_tid_x_f_tek_d_0_037, f_tid_x_f_tek_d_0_01)))</f>
        <v>0</v>
      </c>
      <c r="AG137" s="572">
        <f>IF(('Tillegg- Inndata Øvrige'!G135) = 0, 0,'Tillegg- Inndata Øvrige'!X135*Faktorer!$Z$58)</f>
        <v>0</v>
      </c>
      <c r="AH137" s="573">
        <f>IF(('Tillegg- Inndata Øvrige'!G135) = 0, 0,'Tillegg- Inndata Øvrige'!Z135+('Tillegg- Inndata Øvrige'!X135+'Tillegg- Inndata Øvrige'!Y135)*(1-Faktorer!$Z$58)*0.5)</f>
        <v>0</v>
      </c>
      <c r="AI137" s="574">
        <f>IF(('Tillegg- Inndata Øvrige'!G135) = 0, 0,'Tillegg- Inndata Øvrige'!AA135+('Tillegg- Inndata Øvrige'!X135+'Tillegg- Inndata Øvrige'!Y135)*(1-Faktorer!$Z$58)*0.5)</f>
        <v>0</v>
      </c>
      <c r="AK137" s="90">
        <f t="shared" si="2"/>
        <v>0</v>
      </c>
      <c r="AL137" s="91">
        <f>'Tillegg- Res. Det. Øvrige'!N137</f>
        <v>0</v>
      </c>
      <c r="AM137" s="91" t="str">
        <f>IF(F137=0,"",('Tillegg- Inndata Øvrige'!E137+'Tillegg- Inndata Øvrige'!F137)*ROUNDDOWN('Tillegg- Inndata Øvrige'!I137,0)*(1+'Tillegg- Inndata Øvrige'!K137))</f>
        <v/>
      </c>
      <c r="AO137" s="1"/>
    </row>
    <row r="138" spans="2:41">
      <c r="B138" s="327">
        <f>'Tillegg- Inndata Øvrige'!B136</f>
        <v>0</v>
      </c>
      <c r="C138" s="327">
        <f>'Tillegg- Inndata Øvrige'!C136</f>
        <v>0</v>
      </c>
      <c r="D138" s="327">
        <f>'Tillegg- Inndata Øvrige'!D136</f>
        <v>0</v>
      </c>
      <c r="E138" s="421" cm="1">
        <f t="array" ref="E138">SUM(IFERROR(F138:AF138,0))</f>
        <v>0</v>
      </c>
      <c r="F138" s="330">
        <f>'Tillegg- Inndata Øvrige'!E136</f>
        <v>0</v>
      </c>
      <c r="G138" s="330">
        <f>IF('Tillegg- Inndata Øvrige'!AB136="Ja", -0.8*$F138, 0)</f>
        <v>0</v>
      </c>
      <c r="H138" s="330">
        <f>IF('Tillegg- Inndata Øvrige'!AC136="Ja", -0.4*$F138, 0)</f>
        <v>0</v>
      </c>
      <c r="I138" s="330">
        <f>IF('Tillegg- Inndata Øvrige'!AD136="Ja", -1*$F138, 0)</f>
        <v>0</v>
      </c>
      <c r="J138" s="330">
        <f>'Tillegg- Inndata Øvrige'!O136*'Tillegg- Inndata Øvrige'!P136</f>
        <v>0</v>
      </c>
      <c r="K138" s="330">
        <f>MAX(-0.75*(SUM('Tillegg- Res. Det. Øvrige'!F138:J138)),-'Tillegg- Inndata Øvrige'!O136*'Tillegg- Inndata Øvrige'!Q136)</f>
        <v>0</v>
      </c>
      <c r="L138" s="330">
        <f>'Tillegg- Inndata Øvrige'!S136*'Tillegg- Inndata Øvrige'!T136</f>
        <v>0</v>
      </c>
      <c r="M138" s="330">
        <f>MAX(-0.75*(SUM('Tillegg- Res. Det. Øvrige'!F138:I138,L138)),-'Tillegg- Inndata Øvrige'!S136*'Tillegg- Inndata Øvrige'!U136)</f>
        <v>0</v>
      </c>
      <c r="N138" s="331">
        <f>'Tillegg- Inndata Øvrige'!F136</f>
        <v>0</v>
      </c>
      <c r="O138" s="330">
        <f>'Tillegg- Inndata Øvrige'!O136*'Tillegg- Inndata Øvrige'!R136</f>
        <v>0</v>
      </c>
      <c r="P138" s="332">
        <f>'Tillegg- Inndata Øvrige'!S136*'Tillegg- Inndata Øvrige'!V136</f>
        <v>0</v>
      </c>
      <c r="Q138" s="333">
        <f>SUM(F138:J138,L138)*'Tillegg- Inndata Øvrige'!K136</f>
        <v>0</v>
      </c>
      <c r="R138" s="333">
        <f>(K138+M138)*'Tillegg- Inndata Øvrige'!K136</f>
        <v>0</v>
      </c>
      <c r="S138" s="333">
        <f>SUM(N138:P138)*'Tillegg- Inndata Øvrige'!K136</f>
        <v>0</v>
      </c>
      <c r="T138" s="334">
        <f>('Tillegg- Inndata Øvrige'!G136+'Tillegg- Inndata Øvrige'!O136+'Tillegg- Inndata Øvrige'!S136)*'Tillegg- Inndata Øvrige'!K136*Transport_utslipp_til_avfallshånderting_per_kg</f>
        <v>0</v>
      </c>
      <c r="U138" s="330">
        <f>IF('Tillegg- Inndata Øvrige'!E136 = 0, 0, 1.833*'Tillegg- Inndata Øvrige'!X136*'Tillegg- Inndata Øvrige'!K136*('Tillegg- Inndata Øvrige'!G136*('Tillegg- Inndata Øvrige'!L136*0.5+'Tillegg- Inndata Øvrige'!M136*0.8) + (12/44)*('Tillegg- Inndata Øvrige'!O136*'Tillegg- Inndata Øvrige'!Q136+'Tillegg- Inndata Øvrige'!S136*'Tillegg- Inndata Øvrige'!U136)))</f>
        <v>0</v>
      </c>
      <c r="V138" s="335">
        <f>IF('Tillegg- Inndata Øvrige'!G136 = 0, 0,  MAX(-SUM(F138:J138,L138)*'Tillegg- Inndata Øvrige'!L136, -0.114*IF('Tillegg- Inndata Øvrige'!H136 &gt; 49, _xlfn.XLOOKUP(49, År_etter_ferdigstillelse, karbon_opptak_faktor), _xlfn.XLOOKUP('Tillegg- Inndata Øvrige'!H136, År_etter_ferdigstillelse, karbon_opptak_faktor))*'Tillegg- Inndata Øvrige'!G136*'Tillegg- Inndata Øvrige'!L136*0.5))</f>
        <v>0</v>
      </c>
      <c r="W138" s="333">
        <f>IF('Tillegg- Inndata Øvrige'!G136=0,0,IF('Tillegg- Inndata Øvrige'!H136&gt;49,-0.064*'Tillegg- Inndata Øvrige'!G136*'Tillegg- Inndata Øvrige'!N136,-0.037*'Tillegg- Inndata Øvrige'!J136*'Tillegg- Inndata Øvrige'!N136))</f>
        <v>0</v>
      </c>
      <c r="X138" s="331" cm="1">
        <f t="array" ref="X138">IF(SUM(F138:J138,L138)=0, 0, SUM(F138:J138,L138)*(1+'Tillegg-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Y138" s="330" cm="1">
        <f t="array" ref="Y138">IF(X138=0, 0, SUM(K138,M138)*(1+'Tillegg-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Z138" s="336" cm="1">
        <f t="array" ref="Z138">IF(X138=0, 0, SUM(N138:P138)*(1+'Tillegg-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A138" s="336" cm="1">
        <f t="array" ref="AA138">IF(X138=0, 0, ('Tillegg- Inndata Øvrige'!G136+'Tillegg- Inndata Øvrige'!O136+'Tillegg- Inndata Øvrige'!S136)*(1+'Tillegg- Inndata Øvrige'!K136)*Transport_utslipp_til_avfallshånderting_per_kg*IF('Tillegg-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B138" s="334" cm="1">
        <f t="array" ref="AB138">IF(X138=0, 0,1.833*'Tillegg- Inndata Øvrige'!J136*('Tillegg- Inndata Øvrige'!X136*_xlfn.XLOOKUP(IF('Tillegg- Inndata Øvrige'!I136&lt;2,'Tillegg- Inndata Øvrige'!H136,'Tillegg- Inndata Øvrige'!H136*2), År_etter_ferdigstillelse, Faktorer!$Z$7:$Z$58))*('Tillegg- Inndata Øvrige'!L136*0.5+'Tillegg- Inndata Øvrige'!M136*0.8)*_xlfn.XLOOKUP(IF('Tillegg- Inndata Øvrige'!I136&lt;2,'Tillegg- Inndata Øvrige'!H136,'Tillegg- Inndata Øvrige'!H136*2), År_etter_ferdigstillelse,  IF(LEFT('Tillegg- Inndata Øvrige'!B136, 2)= 49, f_tid_x_f_tek_d_0_037, f_tid_x_f_tek_d_0_01)))</f>
        <v>0</v>
      </c>
      <c r="AC138" s="335">
        <f>IF(('Tillegg- Inndata Øvrige'!G136) = 0, 0,('Tillegg- Inndata Øvrige'!G136*((AG138+AI138)*Transport_utslipp_til_avfallshånderting_per_kg)+('Tillegg- Inndata Øvrige'!Z136*'ZERO-B Beregning'!D238)*IF('ZERO-B Beregning'!F239=0,'ZERO-B Beregning'!D239,'ZERO-B Beregning'!F239))*_xlfn.XLOOKUP(51, År_etter_ferdigstillelse, f_tid_x_f_tek_d_0_01))</f>
        <v>0</v>
      </c>
      <c r="AD138" s="337">
        <f>IF(('Tillegg- Inndata Øvrige'!G136) = 0, 0,1.833*('Tillegg- Inndata Øvrige'!G136*('Tillegg- Inndata Øvrige'!L136*0.5+'Tillegg- Inndata Øvrige'!M136*0.8)*AG138*_xlfn.XLOOKUP(51, År_etter_ferdigstillelse,  f_tid_x_f_tek_d_0_01)))</f>
        <v>0</v>
      </c>
      <c r="AE138" s="333" cm="1">
        <f t="array" ref="AE138">IF(('Tillegg- Inndata Øvrige'!G136) = 0, 0,-0.8*('Tillegg- Inndata Øvrige'!G136)*AH138*('Tillegg- Inndata Øvrige'!E136/'Tillegg- Inndata Øvrige'!G136)*_xlfn.XLOOKUP(51, År_etter_ferdigstillelse,  IF(LEFT('Tillegg- Inndata Øvrige'!B136, 2)= 49, f_tid_x_f_tek_d_0_037, f_tid_x_f_tek_d_0_01)))</f>
        <v>0</v>
      </c>
      <c r="AF138" s="338" cm="1">
        <f t="array" ref="AF138">IF(('Tillegg- Inndata Øvrige'!G136) = 0, 0,-0.1*('Tillegg- Inndata Øvrige'!G136)*AI138*('Tillegg- Inndata Øvrige'!E136/'Tillegg- Inndata Øvrige'!G136)*_xlfn.XLOOKUP(51, År_etter_ferdigstillelse,  IF(LEFT('Tillegg- Inndata Øvrige'!B136, 2)= 49, f_tid_x_f_tek_d_0_037, f_tid_x_f_tek_d_0_01)))</f>
        <v>0</v>
      </c>
      <c r="AG138" s="572">
        <f>IF(('Tillegg- Inndata Øvrige'!G136) = 0, 0,'Tillegg- Inndata Øvrige'!X136*Faktorer!$Z$58)</f>
        <v>0</v>
      </c>
      <c r="AH138" s="573">
        <f>IF(('Tillegg- Inndata Øvrige'!G136) = 0, 0,'Tillegg- Inndata Øvrige'!Z136+('Tillegg- Inndata Øvrige'!X136+'Tillegg- Inndata Øvrige'!Y136)*(1-Faktorer!$Z$58)*0.5)</f>
        <v>0</v>
      </c>
      <c r="AI138" s="574">
        <f>IF(('Tillegg- Inndata Øvrige'!G136) = 0, 0,'Tillegg- Inndata Øvrige'!AA136+('Tillegg- Inndata Øvrige'!X136+'Tillegg- Inndata Øvrige'!Y136)*(1-Faktorer!$Z$58)*0.5)</f>
        <v>0</v>
      </c>
      <c r="AK138" s="90">
        <f t="shared" si="2"/>
        <v>0</v>
      </c>
      <c r="AL138" s="91">
        <f>'Tillegg- Res. Det. Øvrige'!N138</f>
        <v>0</v>
      </c>
      <c r="AM138" s="91" t="str">
        <f>IF(F138=0,"",('Tillegg- Inndata Øvrige'!E138+'Tillegg- Inndata Øvrige'!F138)*ROUNDDOWN('Tillegg- Inndata Øvrige'!I138,0)*(1+'Tillegg- Inndata Øvrige'!K138))</f>
        <v/>
      </c>
      <c r="AO138" s="1"/>
    </row>
    <row r="139" spans="2:41">
      <c r="B139" s="327">
        <f>'Tillegg- Inndata Øvrige'!B137</f>
        <v>0</v>
      </c>
      <c r="C139" s="327">
        <f>'Tillegg- Inndata Øvrige'!C137</f>
        <v>0</v>
      </c>
      <c r="D139" s="327">
        <f>'Tillegg- Inndata Øvrige'!D137</f>
        <v>0</v>
      </c>
      <c r="E139" s="421" cm="1">
        <f t="array" ref="E139">SUM(IFERROR(F139:AF139,0))</f>
        <v>0</v>
      </c>
      <c r="F139" s="330">
        <f>'Tillegg- Inndata Øvrige'!E137</f>
        <v>0</v>
      </c>
      <c r="G139" s="330">
        <f>IF('Tillegg- Inndata Øvrige'!AB137="Ja", -0.8*$F139, 0)</f>
        <v>0</v>
      </c>
      <c r="H139" s="330">
        <f>IF('Tillegg- Inndata Øvrige'!AC137="Ja", -0.4*$F139, 0)</f>
        <v>0</v>
      </c>
      <c r="I139" s="330">
        <f>IF('Tillegg- Inndata Øvrige'!AD137="Ja", -1*$F139, 0)</f>
        <v>0</v>
      </c>
      <c r="J139" s="330">
        <f>'Tillegg- Inndata Øvrige'!O137*'Tillegg- Inndata Øvrige'!P137</f>
        <v>0</v>
      </c>
      <c r="K139" s="330">
        <f>MAX(-0.75*(SUM('Tillegg- Res. Det. Øvrige'!F139:J139)),-'Tillegg- Inndata Øvrige'!O137*'Tillegg- Inndata Øvrige'!Q137)</f>
        <v>0</v>
      </c>
      <c r="L139" s="330">
        <f>'Tillegg- Inndata Øvrige'!S137*'Tillegg- Inndata Øvrige'!T137</f>
        <v>0</v>
      </c>
      <c r="M139" s="330">
        <f>MAX(-0.75*(SUM('Tillegg- Res. Det. Øvrige'!F139:I139,L139)),-'Tillegg- Inndata Øvrige'!S137*'Tillegg- Inndata Øvrige'!U137)</f>
        <v>0</v>
      </c>
      <c r="N139" s="331">
        <f>'Tillegg- Inndata Øvrige'!F137</f>
        <v>0</v>
      </c>
      <c r="O139" s="330">
        <f>'Tillegg- Inndata Øvrige'!O137*'Tillegg- Inndata Øvrige'!R137</f>
        <v>0</v>
      </c>
      <c r="P139" s="332">
        <f>'Tillegg- Inndata Øvrige'!S137*'Tillegg- Inndata Øvrige'!V137</f>
        <v>0</v>
      </c>
      <c r="Q139" s="333">
        <f>SUM(F139:J139,L139)*'Tillegg- Inndata Øvrige'!K137</f>
        <v>0</v>
      </c>
      <c r="R139" s="333">
        <f>(K139+M139)*'Tillegg- Inndata Øvrige'!K137</f>
        <v>0</v>
      </c>
      <c r="S139" s="333">
        <f>SUM(N139:P139)*'Tillegg- Inndata Øvrige'!K137</f>
        <v>0</v>
      </c>
      <c r="T139" s="334">
        <f>('Tillegg- Inndata Øvrige'!G137+'Tillegg- Inndata Øvrige'!O137+'Tillegg- Inndata Øvrige'!S137)*'Tillegg- Inndata Øvrige'!K137*Transport_utslipp_til_avfallshånderting_per_kg</f>
        <v>0</v>
      </c>
      <c r="U139" s="330">
        <f>IF('Tillegg- Inndata Øvrige'!E137 = 0, 0, 1.833*'Tillegg- Inndata Øvrige'!X137*'Tillegg- Inndata Øvrige'!K137*('Tillegg- Inndata Øvrige'!G137*('Tillegg- Inndata Øvrige'!L137*0.5+'Tillegg- Inndata Øvrige'!M137*0.8) + (12/44)*('Tillegg- Inndata Øvrige'!O137*'Tillegg- Inndata Øvrige'!Q137+'Tillegg- Inndata Øvrige'!S137*'Tillegg- Inndata Øvrige'!U137)))</f>
        <v>0</v>
      </c>
      <c r="V139" s="335">
        <f>IF('Tillegg- Inndata Øvrige'!G137 = 0, 0,  MAX(-SUM(F139:J139,L139)*'Tillegg- Inndata Øvrige'!L137, -0.114*IF('Tillegg- Inndata Øvrige'!H137 &gt; 49, _xlfn.XLOOKUP(49, År_etter_ferdigstillelse, karbon_opptak_faktor), _xlfn.XLOOKUP('Tillegg- Inndata Øvrige'!H137, År_etter_ferdigstillelse, karbon_opptak_faktor))*'Tillegg- Inndata Øvrige'!G137*'Tillegg- Inndata Øvrige'!L137*0.5))</f>
        <v>0</v>
      </c>
      <c r="W139" s="333">
        <f>IF('Tillegg- Inndata Øvrige'!G137=0,0,IF('Tillegg- Inndata Øvrige'!H137&gt;49,-0.064*'Tillegg- Inndata Øvrige'!G137*'Tillegg- Inndata Øvrige'!N137,-0.037*'Tillegg- Inndata Øvrige'!J137*'Tillegg- Inndata Øvrige'!N137))</f>
        <v>0</v>
      </c>
      <c r="X139" s="331" cm="1">
        <f t="array" ref="X139">IF(SUM(F139:J139,L139)=0, 0, SUM(F139:J139,L139)*(1+'Tillegg-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Y139" s="330" cm="1">
        <f t="array" ref="Y139">IF(X139=0, 0, SUM(K139,M139)*(1+'Tillegg-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Z139" s="336" cm="1">
        <f t="array" ref="Z139">IF(X139=0, 0, SUM(N139:P139)*(1+'Tillegg-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A139" s="336" cm="1">
        <f t="array" ref="AA139">IF(X139=0, 0, ('Tillegg- Inndata Øvrige'!G137+'Tillegg- Inndata Øvrige'!O137+'Tillegg- Inndata Øvrige'!S137)*(1+'Tillegg- Inndata Øvrige'!K137)*Transport_utslipp_til_avfallshånderting_per_kg*IF('Tillegg-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B139" s="334" cm="1">
        <f t="array" ref="AB139">IF(X139=0, 0,1.833*'Tillegg- Inndata Øvrige'!J137*('Tillegg- Inndata Øvrige'!X137*_xlfn.XLOOKUP(IF('Tillegg- Inndata Øvrige'!I137&lt;2,'Tillegg- Inndata Øvrige'!H137,'Tillegg- Inndata Øvrige'!H137*2), År_etter_ferdigstillelse, Faktorer!$Z$7:$Z$58))*('Tillegg- Inndata Øvrige'!L137*0.5+'Tillegg- Inndata Øvrige'!M137*0.8)*_xlfn.XLOOKUP(IF('Tillegg- Inndata Øvrige'!I137&lt;2,'Tillegg- Inndata Øvrige'!H137,'Tillegg- Inndata Øvrige'!H137*2), År_etter_ferdigstillelse,  IF(LEFT('Tillegg- Inndata Øvrige'!B137, 2)= 49, f_tid_x_f_tek_d_0_037, f_tid_x_f_tek_d_0_01)))</f>
        <v>0</v>
      </c>
      <c r="AC139" s="335">
        <f>IF(('Tillegg- Inndata Øvrige'!G137) = 0, 0,('Tillegg- Inndata Øvrige'!G137*((AG139+AI139)*Transport_utslipp_til_avfallshånderting_per_kg)+('Tillegg- Inndata Øvrige'!Z137*'ZERO-B Beregning'!D239)*IF('ZERO-B Beregning'!F240=0,'ZERO-B Beregning'!D240,'ZERO-B Beregning'!F240))*_xlfn.XLOOKUP(51, År_etter_ferdigstillelse, f_tid_x_f_tek_d_0_01))</f>
        <v>0</v>
      </c>
      <c r="AD139" s="337">
        <f>IF(('Tillegg- Inndata Øvrige'!G137) = 0, 0,1.833*('Tillegg- Inndata Øvrige'!G137*('Tillegg- Inndata Øvrige'!L137*0.5+'Tillegg- Inndata Øvrige'!M137*0.8)*AG139*_xlfn.XLOOKUP(51, År_etter_ferdigstillelse,  f_tid_x_f_tek_d_0_01)))</f>
        <v>0</v>
      </c>
      <c r="AE139" s="333" cm="1">
        <f t="array" ref="AE139">IF(('Tillegg- Inndata Øvrige'!G137) = 0, 0,-0.8*('Tillegg- Inndata Øvrige'!G137)*AH139*('Tillegg- Inndata Øvrige'!E137/'Tillegg- Inndata Øvrige'!G137)*_xlfn.XLOOKUP(51, År_etter_ferdigstillelse,  IF(LEFT('Tillegg- Inndata Øvrige'!B137, 2)= 49, f_tid_x_f_tek_d_0_037, f_tid_x_f_tek_d_0_01)))</f>
        <v>0</v>
      </c>
      <c r="AF139" s="338" cm="1">
        <f t="array" ref="AF139">IF(('Tillegg- Inndata Øvrige'!G137) = 0, 0,-0.1*('Tillegg- Inndata Øvrige'!G137)*AI139*('Tillegg- Inndata Øvrige'!E137/'Tillegg- Inndata Øvrige'!G137)*_xlfn.XLOOKUP(51, År_etter_ferdigstillelse,  IF(LEFT('Tillegg- Inndata Øvrige'!B137, 2)= 49, f_tid_x_f_tek_d_0_037, f_tid_x_f_tek_d_0_01)))</f>
        <v>0</v>
      </c>
      <c r="AG139" s="572">
        <f>IF(('Tillegg- Inndata Øvrige'!G137) = 0, 0,'Tillegg- Inndata Øvrige'!X137*Faktorer!$Z$58)</f>
        <v>0</v>
      </c>
      <c r="AH139" s="573">
        <f>IF(('Tillegg- Inndata Øvrige'!G137) = 0, 0,'Tillegg- Inndata Øvrige'!Z137+('Tillegg- Inndata Øvrige'!X137+'Tillegg- Inndata Øvrige'!Y137)*(1-Faktorer!$Z$58)*0.5)</f>
        <v>0</v>
      </c>
      <c r="AI139" s="574">
        <f>IF(('Tillegg- Inndata Øvrige'!G137) = 0, 0,'Tillegg- Inndata Øvrige'!AA137+('Tillegg- Inndata Øvrige'!X137+'Tillegg- Inndata Øvrige'!Y137)*(1-Faktorer!$Z$58)*0.5)</f>
        <v>0</v>
      </c>
      <c r="AK139" s="90">
        <f t="shared" si="2"/>
        <v>0</v>
      </c>
      <c r="AL139" s="91">
        <f>'Tillegg- Res. Det. Øvrige'!N139</f>
        <v>0</v>
      </c>
      <c r="AM139" s="91" t="str">
        <f>IF(F139=0,"",('Tillegg- Inndata Øvrige'!E139+'Tillegg- Inndata Øvrige'!F139)*ROUNDDOWN('Tillegg- Inndata Øvrige'!I139,0)*(1+'Tillegg- Inndata Øvrige'!K139))</f>
        <v/>
      </c>
      <c r="AO139" s="1"/>
    </row>
    <row r="140" spans="2:41">
      <c r="B140" s="327">
        <f>'Tillegg- Inndata Øvrige'!B138</f>
        <v>0</v>
      </c>
      <c r="C140" s="327">
        <f>'Tillegg- Inndata Øvrige'!C138</f>
        <v>0</v>
      </c>
      <c r="D140" s="327">
        <f>'Tillegg- Inndata Øvrige'!D138</f>
        <v>0</v>
      </c>
      <c r="E140" s="421" cm="1">
        <f t="array" ref="E140">SUM(IFERROR(F140:AF140,0))</f>
        <v>0</v>
      </c>
      <c r="F140" s="330">
        <f>'Tillegg- Inndata Øvrige'!E138</f>
        <v>0</v>
      </c>
      <c r="G140" s="330">
        <f>IF('Tillegg- Inndata Øvrige'!AB138="Ja", -0.8*$F140, 0)</f>
        <v>0</v>
      </c>
      <c r="H140" s="330">
        <f>IF('Tillegg- Inndata Øvrige'!AC138="Ja", -0.4*$F140, 0)</f>
        <v>0</v>
      </c>
      <c r="I140" s="330">
        <f>IF('Tillegg- Inndata Øvrige'!AD138="Ja", -1*$F140, 0)</f>
        <v>0</v>
      </c>
      <c r="J140" s="330">
        <f>'Tillegg- Inndata Øvrige'!O138*'Tillegg- Inndata Øvrige'!P138</f>
        <v>0</v>
      </c>
      <c r="K140" s="330">
        <f>MAX(-0.75*(SUM('Tillegg- Res. Det. Øvrige'!F140:J140)),-'Tillegg- Inndata Øvrige'!O138*'Tillegg- Inndata Øvrige'!Q138)</f>
        <v>0</v>
      </c>
      <c r="L140" s="330">
        <f>'Tillegg- Inndata Øvrige'!S138*'Tillegg- Inndata Øvrige'!T138</f>
        <v>0</v>
      </c>
      <c r="M140" s="330">
        <f>MAX(-0.75*(SUM('Tillegg- Res. Det. Øvrige'!F140:I140,L140)),-'Tillegg- Inndata Øvrige'!S138*'Tillegg- Inndata Øvrige'!U138)</f>
        <v>0</v>
      </c>
      <c r="N140" s="331">
        <f>'Tillegg- Inndata Øvrige'!F138</f>
        <v>0</v>
      </c>
      <c r="O140" s="330">
        <f>'Tillegg- Inndata Øvrige'!O138*'Tillegg- Inndata Øvrige'!R138</f>
        <v>0</v>
      </c>
      <c r="P140" s="332">
        <f>'Tillegg- Inndata Øvrige'!S138*'Tillegg- Inndata Øvrige'!V138</f>
        <v>0</v>
      </c>
      <c r="Q140" s="333">
        <f>SUM(F140:J140,L140)*'Tillegg- Inndata Øvrige'!K138</f>
        <v>0</v>
      </c>
      <c r="R140" s="333">
        <f>(K140+M140)*'Tillegg- Inndata Øvrige'!K138</f>
        <v>0</v>
      </c>
      <c r="S140" s="333">
        <f>SUM(N140:P140)*'Tillegg- Inndata Øvrige'!K138</f>
        <v>0</v>
      </c>
      <c r="T140" s="334">
        <f>('Tillegg- Inndata Øvrige'!G138+'Tillegg- Inndata Øvrige'!O138+'Tillegg- Inndata Øvrige'!S138)*'Tillegg- Inndata Øvrige'!K138*Transport_utslipp_til_avfallshånderting_per_kg</f>
        <v>0</v>
      </c>
      <c r="U140" s="330">
        <f>IF('Tillegg- Inndata Øvrige'!E138 = 0, 0, 1.833*'Tillegg- Inndata Øvrige'!X138*'Tillegg- Inndata Øvrige'!K138*('Tillegg- Inndata Øvrige'!G138*('Tillegg- Inndata Øvrige'!L138*0.5+'Tillegg- Inndata Øvrige'!M138*0.8) + (12/44)*('Tillegg- Inndata Øvrige'!O138*'Tillegg- Inndata Øvrige'!Q138+'Tillegg- Inndata Øvrige'!S138*'Tillegg- Inndata Øvrige'!U138)))</f>
        <v>0</v>
      </c>
      <c r="V140" s="335">
        <f>IF('Tillegg- Inndata Øvrige'!G138 = 0, 0,  MAX(-SUM(F140:J140,L140)*'Tillegg- Inndata Øvrige'!L138, -0.114*IF('Tillegg- Inndata Øvrige'!H138 &gt; 49, _xlfn.XLOOKUP(49, År_etter_ferdigstillelse, karbon_opptak_faktor), _xlfn.XLOOKUP('Tillegg- Inndata Øvrige'!H138, År_etter_ferdigstillelse, karbon_opptak_faktor))*'Tillegg- Inndata Øvrige'!G138*'Tillegg- Inndata Øvrige'!L138*0.5))</f>
        <v>0</v>
      </c>
      <c r="W140" s="333">
        <f>IF('Tillegg- Inndata Øvrige'!G138=0,0,IF('Tillegg- Inndata Øvrige'!H138&gt;49,-0.064*'Tillegg- Inndata Øvrige'!G138*'Tillegg- Inndata Øvrige'!N138,-0.037*'Tillegg- Inndata Øvrige'!J138*'Tillegg- Inndata Øvrige'!N138))</f>
        <v>0</v>
      </c>
      <c r="X140" s="331" cm="1">
        <f t="array" ref="X140">IF(SUM(F140:J140,L140)=0, 0, SUM(F140:J140,L140)*(1+'Tillegg-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Y140" s="330" cm="1">
        <f t="array" ref="Y140">IF(X140=0, 0, SUM(K140,M140)*(1+'Tillegg-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Z140" s="336" cm="1">
        <f t="array" ref="Z140">IF(X140=0, 0, SUM(N140:P140)*(1+'Tillegg-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A140" s="336" cm="1">
        <f t="array" ref="AA140">IF(X140=0, 0, ('Tillegg- Inndata Øvrige'!G138+'Tillegg- Inndata Øvrige'!O138+'Tillegg- Inndata Øvrige'!S138)*(1+'Tillegg- Inndata Øvrige'!K138)*Transport_utslipp_til_avfallshånderting_per_kg*IF('Tillegg-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B140" s="334" cm="1">
        <f t="array" ref="AB140">IF(X140=0, 0,1.833*'Tillegg- Inndata Øvrige'!J138*('Tillegg- Inndata Øvrige'!X138*_xlfn.XLOOKUP(IF('Tillegg- Inndata Øvrige'!I138&lt;2,'Tillegg- Inndata Øvrige'!H138,'Tillegg- Inndata Øvrige'!H138*2), År_etter_ferdigstillelse, Faktorer!$Z$7:$Z$58))*('Tillegg- Inndata Øvrige'!L138*0.5+'Tillegg- Inndata Øvrige'!M138*0.8)*_xlfn.XLOOKUP(IF('Tillegg- Inndata Øvrige'!I138&lt;2,'Tillegg- Inndata Øvrige'!H138,'Tillegg- Inndata Øvrige'!H138*2), År_etter_ferdigstillelse,  IF(LEFT('Tillegg- Inndata Øvrige'!B138, 2)= 49, f_tid_x_f_tek_d_0_037, f_tid_x_f_tek_d_0_01)))</f>
        <v>0</v>
      </c>
      <c r="AC140" s="335">
        <f>IF(('Tillegg- Inndata Øvrige'!G138) = 0, 0,('Tillegg- Inndata Øvrige'!G138*((AG140+AI140)*Transport_utslipp_til_avfallshånderting_per_kg)+('Tillegg- Inndata Øvrige'!Z138*'ZERO-B Beregning'!D240)*IF('ZERO-B Beregning'!F241=0,'ZERO-B Beregning'!D241,'ZERO-B Beregning'!F241))*_xlfn.XLOOKUP(51, År_etter_ferdigstillelse, f_tid_x_f_tek_d_0_01))</f>
        <v>0</v>
      </c>
      <c r="AD140" s="337">
        <f>IF(('Tillegg- Inndata Øvrige'!G138) = 0, 0,1.833*('Tillegg- Inndata Øvrige'!G138*('Tillegg- Inndata Øvrige'!L138*0.5+'Tillegg- Inndata Øvrige'!M138*0.8)*AG140*_xlfn.XLOOKUP(51, År_etter_ferdigstillelse,  f_tid_x_f_tek_d_0_01)))</f>
        <v>0</v>
      </c>
      <c r="AE140" s="333" cm="1">
        <f t="array" ref="AE140">IF(('Tillegg- Inndata Øvrige'!G138) = 0, 0,-0.8*('Tillegg- Inndata Øvrige'!G138)*AH140*('Tillegg- Inndata Øvrige'!E138/'Tillegg- Inndata Øvrige'!G138)*_xlfn.XLOOKUP(51, År_etter_ferdigstillelse,  IF(LEFT('Tillegg- Inndata Øvrige'!B138, 2)= 49, f_tid_x_f_tek_d_0_037, f_tid_x_f_tek_d_0_01)))</f>
        <v>0</v>
      </c>
      <c r="AF140" s="338" cm="1">
        <f t="array" ref="AF140">IF(('Tillegg- Inndata Øvrige'!G138) = 0, 0,-0.1*('Tillegg- Inndata Øvrige'!G138)*AI140*('Tillegg- Inndata Øvrige'!E138/'Tillegg- Inndata Øvrige'!G138)*_xlfn.XLOOKUP(51, År_etter_ferdigstillelse,  IF(LEFT('Tillegg- Inndata Øvrige'!B138, 2)= 49, f_tid_x_f_tek_d_0_037, f_tid_x_f_tek_d_0_01)))</f>
        <v>0</v>
      </c>
      <c r="AG140" s="572">
        <f>IF(('Tillegg- Inndata Øvrige'!G138) = 0, 0,'Tillegg- Inndata Øvrige'!X138*Faktorer!$Z$58)</f>
        <v>0</v>
      </c>
      <c r="AH140" s="573">
        <f>IF(('Tillegg- Inndata Øvrige'!G138) = 0, 0,'Tillegg- Inndata Øvrige'!Z138+('Tillegg- Inndata Øvrige'!X138+'Tillegg- Inndata Øvrige'!Y138)*(1-Faktorer!$Z$58)*0.5)</f>
        <v>0</v>
      </c>
      <c r="AI140" s="574">
        <f>IF(('Tillegg- Inndata Øvrige'!G138) = 0, 0,'Tillegg- Inndata Øvrige'!AA138+('Tillegg- Inndata Øvrige'!X138+'Tillegg- Inndata Øvrige'!Y138)*(1-Faktorer!$Z$58)*0.5)</f>
        <v>0</v>
      </c>
      <c r="AK140" s="90">
        <f t="shared" si="2"/>
        <v>0</v>
      </c>
      <c r="AL140" s="91">
        <f>'Tillegg- Res. Det. Øvrige'!N140</f>
        <v>0</v>
      </c>
      <c r="AM140" s="91" t="str">
        <f>IF(F140=0,"",('Tillegg- Inndata Øvrige'!E140+'Tillegg- Inndata Øvrige'!F140)*ROUNDDOWN('Tillegg- Inndata Øvrige'!I140,0)*(1+'Tillegg- Inndata Øvrige'!K140))</f>
        <v/>
      </c>
      <c r="AO140" s="1"/>
    </row>
    <row r="141" spans="2:41">
      <c r="B141" s="327">
        <f>'Tillegg- Inndata Øvrige'!B139</f>
        <v>0</v>
      </c>
      <c r="C141" s="327">
        <f>'Tillegg- Inndata Øvrige'!C139</f>
        <v>0</v>
      </c>
      <c r="D141" s="327">
        <f>'Tillegg- Inndata Øvrige'!D139</f>
        <v>0</v>
      </c>
      <c r="E141" s="421" cm="1">
        <f t="array" ref="E141">SUM(IFERROR(F141:AF141,0))</f>
        <v>0</v>
      </c>
      <c r="F141" s="330">
        <f>'Tillegg- Inndata Øvrige'!E139</f>
        <v>0</v>
      </c>
      <c r="G141" s="330">
        <f>IF('Tillegg- Inndata Øvrige'!AB139="Ja", -0.8*$F141, 0)</f>
        <v>0</v>
      </c>
      <c r="H141" s="330">
        <f>IF('Tillegg- Inndata Øvrige'!AC139="Ja", -0.4*$F141, 0)</f>
        <v>0</v>
      </c>
      <c r="I141" s="330">
        <f>IF('Tillegg- Inndata Øvrige'!AD139="Ja", -1*$F141, 0)</f>
        <v>0</v>
      </c>
      <c r="J141" s="330">
        <f>'Tillegg- Inndata Øvrige'!O139*'Tillegg- Inndata Øvrige'!P139</f>
        <v>0</v>
      </c>
      <c r="K141" s="330">
        <f>MAX(-0.75*(SUM('Tillegg- Res. Det. Øvrige'!F141:J141)),-'Tillegg- Inndata Øvrige'!O139*'Tillegg- Inndata Øvrige'!Q139)</f>
        <v>0</v>
      </c>
      <c r="L141" s="330">
        <f>'Tillegg- Inndata Øvrige'!S139*'Tillegg- Inndata Øvrige'!T139</f>
        <v>0</v>
      </c>
      <c r="M141" s="330">
        <f>MAX(-0.75*(SUM('Tillegg- Res. Det. Øvrige'!F141:I141,L141)),-'Tillegg- Inndata Øvrige'!S139*'Tillegg- Inndata Øvrige'!U139)</f>
        <v>0</v>
      </c>
      <c r="N141" s="331">
        <f>'Tillegg- Inndata Øvrige'!F139</f>
        <v>0</v>
      </c>
      <c r="O141" s="330">
        <f>'Tillegg- Inndata Øvrige'!O139*'Tillegg- Inndata Øvrige'!R139</f>
        <v>0</v>
      </c>
      <c r="P141" s="332">
        <f>'Tillegg- Inndata Øvrige'!S139*'Tillegg- Inndata Øvrige'!V139</f>
        <v>0</v>
      </c>
      <c r="Q141" s="333">
        <f>SUM(F141:J141,L141)*'Tillegg- Inndata Øvrige'!K139</f>
        <v>0</v>
      </c>
      <c r="R141" s="333">
        <f>(K141+M141)*'Tillegg- Inndata Øvrige'!K139</f>
        <v>0</v>
      </c>
      <c r="S141" s="333">
        <f>SUM(N141:P141)*'Tillegg- Inndata Øvrige'!K139</f>
        <v>0</v>
      </c>
      <c r="T141" s="334">
        <f>('Tillegg- Inndata Øvrige'!G139+'Tillegg- Inndata Øvrige'!O139+'Tillegg- Inndata Øvrige'!S139)*'Tillegg- Inndata Øvrige'!K139*Transport_utslipp_til_avfallshånderting_per_kg</f>
        <v>0</v>
      </c>
      <c r="U141" s="330">
        <f>IF('Tillegg- Inndata Øvrige'!E139 = 0, 0, 1.833*'Tillegg- Inndata Øvrige'!X139*'Tillegg- Inndata Øvrige'!K139*('Tillegg- Inndata Øvrige'!G139*('Tillegg- Inndata Øvrige'!L139*0.5+'Tillegg- Inndata Øvrige'!M139*0.8) + (12/44)*('Tillegg- Inndata Øvrige'!O139*'Tillegg- Inndata Øvrige'!Q139+'Tillegg- Inndata Øvrige'!S139*'Tillegg- Inndata Øvrige'!U139)))</f>
        <v>0</v>
      </c>
      <c r="V141" s="335">
        <f>IF('Tillegg- Inndata Øvrige'!G139 = 0, 0,  MAX(-SUM(F141:J141,L141)*'Tillegg- Inndata Øvrige'!L139, -0.114*IF('Tillegg- Inndata Øvrige'!H139 &gt; 49, _xlfn.XLOOKUP(49, År_etter_ferdigstillelse, karbon_opptak_faktor), _xlfn.XLOOKUP('Tillegg- Inndata Øvrige'!H139, År_etter_ferdigstillelse, karbon_opptak_faktor))*'Tillegg- Inndata Øvrige'!G139*'Tillegg- Inndata Øvrige'!L139*0.5))</f>
        <v>0</v>
      </c>
      <c r="W141" s="333">
        <f>IF('Tillegg- Inndata Øvrige'!G139=0,0,IF('Tillegg- Inndata Øvrige'!H139&gt;49,-0.064*'Tillegg- Inndata Øvrige'!G139*'Tillegg- Inndata Øvrige'!N139,-0.037*'Tillegg- Inndata Øvrige'!J139*'Tillegg- Inndata Øvrige'!N139))</f>
        <v>0</v>
      </c>
      <c r="X141" s="331" cm="1">
        <f t="array" ref="X141">IF(SUM(F141:J141,L141)=0, 0, SUM(F141:J141,L141)*(1+'Tillegg-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Y141" s="330" cm="1">
        <f t="array" ref="Y141">IF(X141=0, 0, SUM(K141,M141)*(1+'Tillegg-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Z141" s="336" cm="1">
        <f t="array" ref="Z141">IF(X141=0, 0, SUM(N141:P141)*(1+'Tillegg-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A141" s="336" cm="1">
        <f t="array" ref="AA141">IF(X141=0, 0, ('Tillegg- Inndata Øvrige'!G139+'Tillegg- Inndata Øvrige'!O139+'Tillegg- Inndata Øvrige'!S139)*(1+'Tillegg- Inndata Øvrige'!K139)*Transport_utslipp_til_avfallshånderting_per_kg*IF('Tillegg-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B141" s="334" cm="1">
        <f t="array" ref="AB141">IF(X141=0, 0,1.833*'Tillegg- Inndata Øvrige'!J139*('Tillegg- Inndata Øvrige'!X139*_xlfn.XLOOKUP(IF('Tillegg- Inndata Øvrige'!I139&lt;2,'Tillegg- Inndata Øvrige'!H139,'Tillegg- Inndata Øvrige'!H139*2), År_etter_ferdigstillelse, Faktorer!$Z$7:$Z$58))*('Tillegg- Inndata Øvrige'!L139*0.5+'Tillegg- Inndata Øvrige'!M139*0.8)*_xlfn.XLOOKUP(IF('Tillegg- Inndata Øvrige'!I139&lt;2,'Tillegg- Inndata Øvrige'!H139,'Tillegg- Inndata Øvrige'!H139*2), År_etter_ferdigstillelse,  IF(LEFT('Tillegg- Inndata Øvrige'!B139, 2)= 49, f_tid_x_f_tek_d_0_037, f_tid_x_f_tek_d_0_01)))</f>
        <v>0</v>
      </c>
      <c r="AC141" s="335">
        <f>IF(('Tillegg- Inndata Øvrige'!G139) = 0, 0,('Tillegg- Inndata Øvrige'!G139*((AG141+AI141)*Transport_utslipp_til_avfallshånderting_per_kg)+('Tillegg- Inndata Øvrige'!Z139*'ZERO-B Beregning'!D241)*IF('ZERO-B Beregning'!F242=0,'ZERO-B Beregning'!D242,'ZERO-B Beregning'!F242))*_xlfn.XLOOKUP(51, År_etter_ferdigstillelse, f_tid_x_f_tek_d_0_01))</f>
        <v>0</v>
      </c>
      <c r="AD141" s="337">
        <f>IF(('Tillegg- Inndata Øvrige'!G139) = 0, 0,1.833*('Tillegg- Inndata Øvrige'!G139*('Tillegg- Inndata Øvrige'!L139*0.5+'Tillegg- Inndata Øvrige'!M139*0.8)*AG141*_xlfn.XLOOKUP(51, År_etter_ferdigstillelse,  f_tid_x_f_tek_d_0_01)))</f>
        <v>0</v>
      </c>
      <c r="AE141" s="333" cm="1">
        <f t="array" ref="AE141">IF(('Tillegg- Inndata Øvrige'!G139) = 0, 0,-0.8*('Tillegg- Inndata Øvrige'!G139)*AH141*('Tillegg- Inndata Øvrige'!E139/'Tillegg- Inndata Øvrige'!G139)*_xlfn.XLOOKUP(51, År_etter_ferdigstillelse,  IF(LEFT('Tillegg- Inndata Øvrige'!B139, 2)= 49, f_tid_x_f_tek_d_0_037, f_tid_x_f_tek_d_0_01)))</f>
        <v>0</v>
      </c>
      <c r="AF141" s="338" cm="1">
        <f t="array" ref="AF141">IF(('Tillegg- Inndata Øvrige'!G139) = 0, 0,-0.1*('Tillegg- Inndata Øvrige'!G139)*AI141*('Tillegg- Inndata Øvrige'!E139/'Tillegg- Inndata Øvrige'!G139)*_xlfn.XLOOKUP(51, År_etter_ferdigstillelse,  IF(LEFT('Tillegg- Inndata Øvrige'!B139, 2)= 49, f_tid_x_f_tek_d_0_037, f_tid_x_f_tek_d_0_01)))</f>
        <v>0</v>
      </c>
      <c r="AG141" s="572">
        <f>IF(('Tillegg- Inndata Øvrige'!G139) = 0, 0,'Tillegg- Inndata Øvrige'!X139*Faktorer!$Z$58)</f>
        <v>0</v>
      </c>
      <c r="AH141" s="573">
        <f>IF(('Tillegg- Inndata Øvrige'!G139) = 0, 0,'Tillegg- Inndata Øvrige'!Z139+('Tillegg- Inndata Øvrige'!X139+'Tillegg- Inndata Øvrige'!Y139)*(1-Faktorer!$Z$58)*0.5)</f>
        <v>0</v>
      </c>
      <c r="AI141" s="574">
        <f>IF(('Tillegg- Inndata Øvrige'!G139) = 0, 0,'Tillegg- Inndata Øvrige'!AA139+('Tillegg- Inndata Øvrige'!X139+'Tillegg- Inndata Øvrige'!Y139)*(1-Faktorer!$Z$58)*0.5)</f>
        <v>0</v>
      </c>
      <c r="AK141" s="90">
        <f t="shared" si="2"/>
        <v>0</v>
      </c>
      <c r="AL141" s="91">
        <f>'Tillegg- Res. Det. Øvrige'!N141</f>
        <v>0</v>
      </c>
      <c r="AM141" s="91" t="str">
        <f>IF(F141=0,"",('Tillegg- Inndata Øvrige'!E141+'Tillegg- Inndata Øvrige'!F141)*ROUNDDOWN('Tillegg- Inndata Øvrige'!I141,0)*(1+'Tillegg- Inndata Øvrige'!K141))</f>
        <v/>
      </c>
      <c r="AO141" s="1"/>
    </row>
    <row r="142" spans="2:41">
      <c r="B142" s="327">
        <f>'Tillegg- Inndata Øvrige'!B140</f>
        <v>0</v>
      </c>
      <c r="C142" s="327">
        <f>'Tillegg- Inndata Øvrige'!C140</f>
        <v>0</v>
      </c>
      <c r="D142" s="327">
        <f>'Tillegg- Inndata Øvrige'!D140</f>
        <v>0</v>
      </c>
      <c r="E142" s="421" cm="1">
        <f t="array" ref="E142">SUM(IFERROR(F142:AF142,0))</f>
        <v>0</v>
      </c>
      <c r="F142" s="330">
        <f>'Tillegg- Inndata Øvrige'!E140</f>
        <v>0</v>
      </c>
      <c r="G142" s="330">
        <f>IF('Tillegg- Inndata Øvrige'!AB140="Ja", -0.8*$F142, 0)</f>
        <v>0</v>
      </c>
      <c r="H142" s="330">
        <f>IF('Tillegg- Inndata Øvrige'!AC140="Ja", -0.4*$F142, 0)</f>
        <v>0</v>
      </c>
      <c r="I142" s="330">
        <f>IF('Tillegg- Inndata Øvrige'!AD140="Ja", -1*$F142, 0)</f>
        <v>0</v>
      </c>
      <c r="J142" s="330">
        <f>'Tillegg- Inndata Øvrige'!O140*'Tillegg- Inndata Øvrige'!P140</f>
        <v>0</v>
      </c>
      <c r="K142" s="330">
        <f>MAX(-0.75*(SUM('Tillegg- Res. Det. Øvrige'!F142:J142)),-'Tillegg- Inndata Øvrige'!O140*'Tillegg- Inndata Øvrige'!Q140)</f>
        <v>0</v>
      </c>
      <c r="L142" s="330">
        <f>'Tillegg- Inndata Øvrige'!S140*'Tillegg- Inndata Øvrige'!T140</f>
        <v>0</v>
      </c>
      <c r="M142" s="330">
        <f>MAX(-0.75*(SUM('Tillegg- Res. Det. Øvrige'!F142:I142,L142)),-'Tillegg- Inndata Øvrige'!S140*'Tillegg- Inndata Øvrige'!U140)</f>
        <v>0</v>
      </c>
      <c r="N142" s="331">
        <f>'Tillegg- Inndata Øvrige'!F140</f>
        <v>0</v>
      </c>
      <c r="O142" s="330">
        <f>'Tillegg- Inndata Øvrige'!O140*'Tillegg- Inndata Øvrige'!R140</f>
        <v>0</v>
      </c>
      <c r="P142" s="332">
        <f>'Tillegg- Inndata Øvrige'!S140*'Tillegg- Inndata Øvrige'!V140</f>
        <v>0</v>
      </c>
      <c r="Q142" s="333">
        <f>SUM(F142:J142,L142)*'Tillegg- Inndata Øvrige'!K140</f>
        <v>0</v>
      </c>
      <c r="R142" s="333">
        <f>(K142+M142)*'Tillegg- Inndata Øvrige'!K140</f>
        <v>0</v>
      </c>
      <c r="S142" s="333">
        <f>SUM(N142:P142)*'Tillegg- Inndata Øvrige'!K140</f>
        <v>0</v>
      </c>
      <c r="T142" s="334">
        <f>('Tillegg- Inndata Øvrige'!G140+'Tillegg- Inndata Øvrige'!O140+'Tillegg- Inndata Øvrige'!S140)*'Tillegg- Inndata Øvrige'!K140*Transport_utslipp_til_avfallshånderting_per_kg</f>
        <v>0</v>
      </c>
      <c r="U142" s="330">
        <f>IF('Tillegg- Inndata Øvrige'!E140 = 0, 0, 1.833*'Tillegg- Inndata Øvrige'!X140*'Tillegg- Inndata Øvrige'!K140*('Tillegg- Inndata Øvrige'!G140*('Tillegg- Inndata Øvrige'!L140*0.5+'Tillegg- Inndata Øvrige'!M140*0.8) + (12/44)*('Tillegg- Inndata Øvrige'!O140*'Tillegg- Inndata Øvrige'!Q140+'Tillegg- Inndata Øvrige'!S140*'Tillegg- Inndata Øvrige'!U140)))</f>
        <v>0</v>
      </c>
      <c r="V142" s="335">
        <f>IF('Tillegg- Inndata Øvrige'!G140 = 0, 0,  MAX(-SUM(F142:J142,L142)*'Tillegg- Inndata Øvrige'!L140, -0.114*IF('Tillegg- Inndata Øvrige'!H140 &gt; 49, _xlfn.XLOOKUP(49, År_etter_ferdigstillelse, karbon_opptak_faktor), _xlfn.XLOOKUP('Tillegg- Inndata Øvrige'!H140, År_etter_ferdigstillelse, karbon_opptak_faktor))*'Tillegg- Inndata Øvrige'!G140*'Tillegg- Inndata Øvrige'!L140*0.5))</f>
        <v>0</v>
      </c>
      <c r="W142" s="333">
        <f>IF('Tillegg- Inndata Øvrige'!G140=0,0,IF('Tillegg- Inndata Øvrige'!H140&gt;49,-0.064*'Tillegg- Inndata Øvrige'!G140*'Tillegg- Inndata Øvrige'!N140,-0.037*'Tillegg- Inndata Øvrige'!J140*'Tillegg- Inndata Øvrige'!N140))</f>
        <v>0</v>
      </c>
      <c r="X142" s="331" cm="1">
        <f t="array" ref="X142">IF(SUM(F142:J142,L142)=0, 0, SUM(F142:J142,L142)*(1+'Tillegg-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Y142" s="330" cm="1">
        <f t="array" ref="Y142">IF(X142=0, 0, SUM(K142,M142)*(1+'Tillegg-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Z142" s="336" cm="1">
        <f t="array" ref="Z142">IF(X142=0, 0, SUM(N142:P142)*(1+'Tillegg-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A142" s="336" cm="1">
        <f t="array" ref="AA142">IF(X142=0, 0, ('Tillegg- Inndata Øvrige'!G140+'Tillegg- Inndata Øvrige'!O140+'Tillegg- Inndata Øvrige'!S140)*(1+'Tillegg- Inndata Øvrige'!K140)*Transport_utslipp_til_avfallshånderting_per_kg*IF('Tillegg-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B142" s="334" cm="1">
        <f t="array" ref="AB142">IF(X142=0, 0,1.833*'Tillegg- Inndata Øvrige'!J140*('Tillegg- Inndata Øvrige'!X140*_xlfn.XLOOKUP(IF('Tillegg- Inndata Øvrige'!I140&lt;2,'Tillegg- Inndata Øvrige'!H140,'Tillegg- Inndata Øvrige'!H140*2), År_etter_ferdigstillelse, Faktorer!$Z$7:$Z$58))*('Tillegg- Inndata Øvrige'!L140*0.5+'Tillegg- Inndata Øvrige'!M140*0.8)*_xlfn.XLOOKUP(IF('Tillegg- Inndata Øvrige'!I140&lt;2,'Tillegg- Inndata Øvrige'!H140,'Tillegg- Inndata Øvrige'!H140*2), År_etter_ferdigstillelse,  IF(LEFT('Tillegg- Inndata Øvrige'!B140, 2)= 49, f_tid_x_f_tek_d_0_037, f_tid_x_f_tek_d_0_01)))</f>
        <v>0</v>
      </c>
      <c r="AC142" s="335">
        <f>IF(('Tillegg- Inndata Øvrige'!G140) = 0, 0,('Tillegg- Inndata Øvrige'!G140*((AG142+AI142)*Transport_utslipp_til_avfallshånderting_per_kg)+('Tillegg- Inndata Øvrige'!Z140*'ZERO-B Beregning'!D242)*IF('ZERO-B Beregning'!F243=0,'ZERO-B Beregning'!D243,'ZERO-B Beregning'!F243))*_xlfn.XLOOKUP(51, År_etter_ferdigstillelse, f_tid_x_f_tek_d_0_01))</f>
        <v>0</v>
      </c>
      <c r="AD142" s="337">
        <f>IF(('Tillegg- Inndata Øvrige'!G140) = 0, 0,1.833*('Tillegg- Inndata Øvrige'!G140*('Tillegg- Inndata Øvrige'!L140*0.5+'Tillegg- Inndata Øvrige'!M140*0.8)*AG142*_xlfn.XLOOKUP(51, År_etter_ferdigstillelse,  f_tid_x_f_tek_d_0_01)))</f>
        <v>0</v>
      </c>
      <c r="AE142" s="333" cm="1">
        <f t="array" ref="AE142">IF(('Tillegg- Inndata Øvrige'!G140) = 0, 0,-0.8*('Tillegg- Inndata Øvrige'!G140)*AH142*('Tillegg- Inndata Øvrige'!E140/'Tillegg- Inndata Øvrige'!G140)*_xlfn.XLOOKUP(51, År_etter_ferdigstillelse,  IF(LEFT('Tillegg- Inndata Øvrige'!B140, 2)= 49, f_tid_x_f_tek_d_0_037, f_tid_x_f_tek_d_0_01)))</f>
        <v>0</v>
      </c>
      <c r="AF142" s="338" cm="1">
        <f t="array" ref="AF142">IF(('Tillegg- Inndata Øvrige'!G140) = 0, 0,-0.1*('Tillegg- Inndata Øvrige'!G140)*AI142*('Tillegg- Inndata Øvrige'!E140/'Tillegg- Inndata Øvrige'!G140)*_xlfn.XLOOKUP(51, År_etter_ferdigstillelse,  IF(LEFT('Tillegg- Inndata Øvrige'!B140, 2)= 49, f_tid_x_f_tek_d_0_037, f_tid_x_f_tek_d_0_01)))</f>
        <v>0</v>
      </c>
      <c r="AG142" s="572">
        <f>IF(('Tillegg- Inndata Øvrige'!G140) = 0, 0,'Tillegg- Inndata Øvrige'!X140*Faktorer!$Z$58)</f>
        <v>0</v>
      </c>
      <c r="AH142" s="573">
        <f>IF(('Tillegg- Inndata Øvrige'!G140) = 0, 0,'Tillegg- Inndata Øvrige'!Z140+('Tillegg- Inndata Øvrige'!X140+'Tillegg- Inndata Øvrige'!Y140)*(1-Faktorer!$Z$58)*0.5)</f>
        <v>0</v>
      </c>
      <c r="AI142" s="574">
        <f>IF(('Tillegg- Inndata Øvrige'!G140) = 0, 0,'Tillegg- Inndata Øvrige'!AA140+('Tillegg- Inndata Øvrige'!X140+'Tillegg- Inndata Øvrige'!Y140)*(1-Faktorer!$Z$58)*0.5)</f>
        <v>0</v>
      </c>
      <c r="AK142" s="90">
        <f t="shared" si="2"/>
        <v>0</v>
      </c>
      <c r="AL142" s="91">
        <f>'Tillegg- Res. Det. Øvrige'!N142</f>
        <v>0</v>
      </c>
      <c r="AM142" s="91" t="str">
        <f>IF(F142=0,"",('Tillegg- Inndata Øvrige'!E142+'Tillegg- Inndata Øvrige'!F142)*ROUNDDOWN('Tillegg- Inndata Øvrige'!I142,0)*(1+'Tillegg- Inndata Øvrige'!K142))</f>
        <v/>
      </c>
      <c r="AO142" s="1"/>
    </row>
    <row r="143" spans="2:41">
      <c r="B143" s="327">
        <f>'Tillegg- Inndata Øvrige'!B141</f>
        <v>0</v>
      </c>
      <c r="C143" s="327">
        <f>'Tillegg- Inndata Øvrige'!C141</f>
        <v>0</v>
      </c>
      <c r="D143" s="327">
        <f>'Tillegg- Inndata Øvrige'!D141</f>
        <v>0</v>
      </c>
      <c r="E143" s="421" cm="1">
        <f t="array" ref="E143">SUM(IFERROR(F143:AF143,0))</f>
        <v>0</v>
      </c>
      <c r="F143" s="330">
        <f>'Tillegg- Inndata Øvrige'!E141</f>
        <v>0</v>
      </c>
      <c r="G143" s="330">
        <f>IF('Tillegg- Inndata Øvrige'!AB141="Ja", -0.8*$F143, 0)</f>
        <v>0</v>
      </c>
      <c r="H143" s="330">
        <f>IF('Tillegg- Inndata Øvrige'!AC141="Ja", -0.4*$F143, 0)</f>
        <v>0</v>
      </c>
      <c r="I143" s="330">
        <f>IF('Tillegg- Inndata Øvrige'!AD141="Ja", -1*$F143, 0)</f>
        <v>0</v>
      </c>
      <c r="J143" s="330">
        <f>'Tillegg- Inndata Øvrige'!O141*'Tillegg- Inndata Øvrige'!P141</f>
        <v>0</v>
      </c>
      <c r="K143" s="330">
        <f>MAX(-0.75*(SUM('Tillegg- Res. Det. Øvrige'!F143:J143)),-'Tillegg- Inndata Øvrige'!O141*'Tillegg- Inndata Øvrige'!Q141)</f>
        <v>0</v>
      </c>
      <c r="L143" s="330">
        <f>'Tillegg- Inndata Øvrige'!S141*'Tillegg- Inndata Øvrige'!T141</f>
        <v>0</v>
      </c>
      <c r="M143" s="330">
        <f>MAX(-0.75*(SUM('Tillegg- Res. Det. Øvrige'!F143:I143,L143)),-'Tillegg- Inndata Øvrige'!S141*'Tillegg- Inndata Øvrige'!U141)</f>
        <v>0</v>
      </c>
      <c r="N143" s="331">
        <f>'Tillegg- Inndata Øvrige'!F141</f>
        <v>0</v>
      </c>
      <c r="O143" s="330">
        <f>'Tillegg- Inndata Øvrige'!O141*'Tillegg- Inndata Øvrige'!R141</f>
        <v>0</v>
      </c>
      <c r="P143" s="332">
        <f>'Tillegg- Inndata Øvrige'!S141*'Tillegg- Inndata Øvrige'!V141</f>
        <v>0</v>
      </c>
      <c r="Q143" s="333">
        <f>SUM(F143:J143,L143)*'Tillegg- Inndata Øvrige'!K141</f>
        <v>0</v>
      </c>
      <c r="R143" s="333">
        <f>(K143+M143)*'Tillegg- Inndata Øvrige'!K141</f>
        <v>0</v>
      </c>
      <c r="S143" s="333">
        <f>SUM(N143:P143)*'Tillegg- Inndata Øvrige'!K141</f>
        <v>0</v>
      </c>
      <c r="T143" s="334">
        <f>('Tillegg- Inndata Øvrige'!G141+'Tillegg- Inndata Øvrige'!O141+'Tillegg- Inndata Øvrige'!S141)*'Tillegg- Inndata Øvrige'!K141*Transport_utslipp_til_avfallshånderting_per_kg</f>
        <v>0</v>
      </c>
      <c r="U143" s="330">
        <f>IF('Tillegg- Inndata Øvrige'!E141 = 0, 0, 1.833*'Tillegg- Inndata Øvrige'!X141*'Tillegg- Inndata Øvrige'!K141*('Tillegg- Inndata Øvrige'!G141*('Tillegg- Inndata Øvrige'!L141*0.5+'Tillegg- Inndata Øvrige'!M141*0.8) + (12/44)*('Tillegg- Inndata Øvrige'!O141*'Tillegg- Inndata Øvrige'!Q141+'Tillegg- Inndata Øvrige'!S141*'Tillegg- Inndata Øvrige'!U141)))</f>
        <v>0</v>
      </c>
      <c r="V143" s="335">
        <f>IF('Tillegg- Inndata Øvrige'!G141 = 0, 0,  MAX(-SUM(F143:J143,L143)*'Tillegg- Inndata Øvrige'!L141, -0.114*IF('Tillegg- Inndata Øvrige'!H141 &gt; 49, _xlfn.XLOOKUP(49, År_etter_ferdigstillelse, karbon_opptak_faktor), _xlfn.XLOOKUP('Tillegg- Inndata Øvrige'!H141, År_etter_ferdigstillelse, karbon_opptak_faktor))*'Tillegg- Inndata Øvrige'!G141*'Tillegg- Inndata Øvrige'!L141*0.5))</f>
        <v>0</v>
      </c>
      <c r="W143" s="333">
        <f>IF('Tillegg- Inndata Øvrige'!G141=0,0,IF('Tillegg- Inndata Øvrige'!H141&gt;49,-0.064*'Tillegg- Inndata Øvrige'!G141*'Tillegg- Inndata Øvrige'!N141,-0.037*'Tillegg- Inndata Øvrige'!J141*'Tillegg- Inndata Øvrige'!N141))</f>
        <v>0</v>
      </c>
      <c r="X143" s="331" cm="1">
        <f t="array" ref="X143">IF(SUM(F143:J143,L143)=0, 0, SUM(F143:J143,L143)*(1+'Tillegg-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Y143" s="330" cm="1">
        <f t="array" ref="Y143">IF(X143=0, 0, SUM(K143,M143)*(1+'Tillegg-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Z143" s="336" cm="1">
        <f t="array" ref="Z143">IF(X143=0, 0, SUM(N143:P143)*(1+'Tillegg-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A143" s="336" cm="1">
        <f t="array" ref="AA143">IF(X143=0, 0, ('Tillegg- Inndata Øvrige'!G141+'Tillegg- Inndata Øvrige'!O141+'Tillegg- Inndata Øvrige'!S141)*(1+'Tillegg- Inndata Øvrige'!K141)*Transport_utslipp_til_avfallshånderting_per_kg*IF('Tillegg-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B143" s="334" cm="1">
        <f t="array" ref="AB143">IF(X143=0, 0,1.833*'Tillegg- Inndata Øvrige'!J141*('Tillegg- Inndata Øvrige'!X141*_xlfn.XLOOKUP(IF('Tillegg- Inndata Øvrige'!I141&lt;2,'Tillegg- Inndata Øvrige'!H141,'Tillegg- Inndata Øvrige'!H141*2), År_etter_ferdigstillelse, Faktorer!$Z$7:$Z$58))*('Tillegg- Inndata Øvrige'!L141*0.5+'Tillegg- Inndata Øvrige'!M141*0.8)*_xlfn.XLOOKUP(IF('Tillegg- Inndata Øvrige'!I141&lt;2,'Tillegg- Inndata Øvrige'!H141,'Tillegg- Inndata Øvrige'!H141*2), År_etter_ferdigstillelse,  IF(LEFT('Tillegg- Inndata Øvrige'!B141, 2)= 49, f_tid_x_f_tek_d_0_037, f_tid_x_f_tek_d_0_01)))</f>
        <v>0</v>
      </c>
      <c r="AC143" s="335">
        <f>IF(('Tillegg- Inndata Øvrige'!G141) = 0, 0,('Tillegg- Inndata Øvrige'!G141*((AG143+AI143)*Transport_utslipp_til_avfallshånderting_per_kg)+('Tillegg- Inndata Øvrige'!Z141*'ZERO-B Beregning'!D243)*IF('ZERO-B Beregning'!F244=0,'ZERO-B Beregning'!D244,'ZERO-B Beregning'!F244))*_xlfn.XLOOKUP(51, År_etter_ferdigstillelse, f_tid_x_f_tek_d_0_01))</f>
        <v>0</v>
      </c>
      <c r="AD143" s="337">
        <f>IF(('Tillegg- Inndata Øvrige'!G141) = 0, 0,1.833*('Tillegg- Inndata Øvrige'!G141*('Tillegg- Inndata Øvrige'!L141*0.5+'Tillegg- Inndata Øvrige'!M141*0.8)*AG143*_xlfn.XLOOKUP(51, År_etter_ferdigstillelse,  f_tid_x_f_tek_d_0_01)))</f>
        <v>0</v>
      </c>
      <c r="AE143" s="333" cm="1">
        <f t="array" ref="AE143">IF(('Tillegg- Inndata Øvrige'!G141) = 0, 0,-0.8*('Tillegg- Inndata Øvrige'!G141)*AH143*('Tillegg- Inndata Øvrige'!E141/'Tillegg- Inndata Øvrige'!G141)*_xlfn.XLOOKUP(51, År_etter_ferdigstillelse,  IF(LEFT('Tillegg- Inndata Øvrige'!B141, 2)= 49, f_tid_x_f_tek_d_0_037, f_tid_x_f_tek_d_0_01)))</f>
        <v>0</v>
      </c>
      <c r="AF143" s="338" cm="1">
        <f t="array" ref="AF143">IF(('Tillegg- Inndata Øvrige'!G141) = 0, 0,-0.1*('Tillegg- Inndata Øvrige'!G141)*AI143*('Tillegg- Inndata Øvrige'!E141/'Tillegg- Inndata Øvrige'!G141)*_xlfn.XLOOKUP(51, År_etter_ferdigstillelse,  IF(LEFT('Tillegg- Inndata Øvrige'!B141, 2)= 49, f_tid_x_f_tek_d_0_037, f_tid_x_f_tek_d_0_01)))</f>
        <v>0</v>
      </c>
      <c r="AG143" s="572">
        <f>IF(('Tillegg- Inndata Øvrige'!G141) = 0, 0,'Tillegg- Inndata Øvrige'!X141*Faktorer!$Z$58)</f>
        <v>0</v>
      </c>
      <c r="AH143" s="573">
        <f>IF(('Tillegg- Inndata Øvrige'!G141) = 0, 0,'Tillegg- Inndata Øvrige'!Z141+('Tillegg- Inndata Øvrige'!X141+'Tillegg- Inndata Øvrige'!Y141)*(1-Faktorer!$Z$58)*0.5)</f>
        <v>0</v>
      </c>
      <c r="AI143" s="574">
        <f>IF(('Tillegg- Inndata Øvrige'!G141) = 0, 0,'Tillegg- Inndata Øvrige'!AA141+('Tillegg- Inndata Øvrige'!X141+'Tillegg- Inndata Øvrige'!Y141)*(1-Faktorer!$Z$58)*0.5)</f>
        <v>0</v>
      </c>
      <c r="AK143" s="90">
        <f t="shared" ref="AK143:AK160" si="3">F143</f>
        <v>0</v>
      </c>
      <c r="AL143" s="91">
        <f>'Tillegg- Res. Det. Øvrige'!N143</f>
        <v>0</v>
      </c>
      <c r="AM143" s="91" t="str">
        <f>IF(F143=0,"",('Tillegg- Inndata Øvrige'!E143+'Tillegg- Inndata Øvrige'!F143)*ROUNDDOWN('Tillegg- Inndata Øvrige'!I143,0)*(1+'Tillegg- Inndata Øvrige'!K143))</f>
        <v/>
      </c>
      <c r="AO143" s="1"/>
    </row>
    <row r="144" spans="2:41">
      <c r="B144" s="327">
        <f>'Tillegg- Inndata Øvrige'!B142</f>
        <v>0</v>
      </c>
      <c r="C144" s="327">
        <f>'Tillegg- Inndata Øvrige'!C142</f>
        <v>0</v>
      </c>
      <c r="D144" s="327">
        <f>'Tillegg- Inndata Øvrige'!D142</f>
        <v>0</v>
      </c>
      <c r="E144" s="421" cm="1">
        <f t="array" ref="E144">SUM(IFERROR(F144:AF144,0))</f>
        <v>0</v>
      </c>
      <c r="F144" s="330">
        <f>'Tillegg- Inndata Øvrige'!E142</f>
        <v>0</v>
      </c>
      <c r="G144" s="330">
        <f>IF('Tillegg- Inndata Øvrige'!AB142="Ja", -0.8*$F144, 0)</f>
        <v>0</v>
      </c>
      <c r="H144" s="330">
        <f>IF('Tillegg- Inndata Øvrige'!AC142="Ja", -0.4*$F144, 0)</f>
        <v>0</v>
      </c>
      <c r="I144" s="330">
        <f>IF('Tillegg- Inndata Øvrige'!AD142="Ja", -1*$F144, 0)</f>
        <v>0</v>
      </c>
      <c r="J144" s="330">
        <f>'Tillegg- Inndata Øvrige'!O142*'Tillegg- Inndata Øvrige'!P142</f>
        <v>0</v>
      </c>
      <c r="K144" s="330">
        <f>MAX(-0.75*(SUM('Tillegg- Res. Det. Øvrige'!F144:J144)),-'Tillegg- Inndata Øvrige'!O142*'Tillegg- Inndata Øvrige'!Q142)</f>
        <v>0</v>
      </c>
      <c r="L144" s="330">
        <f>'Tillegg- Inndata Øvrige'!S142*'Tillegg- Inndata Øvrige'!T142</f>
        <v>0</v>
      </c>
      <c r="M144" s="330">
        <f>MAX(-0.75*(SUM('Tillegg- Res. Det. Øvrige'!F144:I144,L144)),-'Tillegg- Inndata Øvrige'!S142*'Tillegg- Inndata Øvrige'!U142)</f>
        <v>0</v>
      </c>
      <c r="N144" s="331">
        <f>'Tillegg- Inndata Øvrige'!F142</f>
        <v>0</v>
      </c>
      <c r="O144" s="330">
        <f>'Tillegg- Inndata Øvrige'!O142*'Tillegg- Inndata Øvrige'!R142</f>
        <v>0</v>
      </c>
      <c r="P144" s="332">
        <f>'Tillegg- Inndata Øvrige'!S142*'Tillegg- Inndata Øvrige'!V142</f>
        <v>0</v>
      </c>
      <c r="Q144" s="333">
        <f>SUM(F144:J144,L144)*'Tillegg- Inndata Øvrige'!K142</f>
        <v>0</v>
      </c>
      <c r="R144" s="333">
        <f>(K144+M144)*'Tillegg- Inndata Øvrige'!K142</f>
        <v>0</v>
      </c>
      <c r="S144" s="333">
        <f>SUM(N144:P144)*'Tillegg- Inndata Øvrige'!K142</f>
        <v>0</v>
      </c>
      <c r="T144" s="334">
        <f>('Tillegg- Inndata Øvrige'!G142+'Tillegg- Inndata Øvrige'!O142+'Tillegg- Inndata Øvrige'!S142)*'Tillegg- Inndata Øvrige'!K142*Transport_utslipp_til_avfallshånderting_per_kg</f>
        <v>0</v>
      </c>
      <c r="U144" s="330">
        <f>IF('Tillegg- Inndata Øvrige'!E142 = 0, 0, 1.833*'Tillegg- Inndata Øvrige'!X142*'Tillegg- Inndata Øvrige'!K142*('Tillegg- Inndata Øvrige'!G142*('Tillegg- Inndata Øvrige'!L142*0.5+'Tillegg- Inndata Øvrige'!M142*0.8) + (12/44)*('Tillegg- Inndata Øvrige'!O142*'Tillegg- Inndata Øvrige'!Q142+'Tillegg- Inndata Øvrige'!S142*'Tillegg- Inndata Øvrige'!U142)))</f>
        <v>0</v>
      </c>
      <c r="V144" s="335">
        <f>IF('Tillegg- Inndata Øvrige'!G142 = 0, 0,  MAX(-SUM(F144:J144,L144)*'Tillegg- Inndata Øvrige'!L142, -0.114*IF('Tillegg- Inndata Øvrige'!H142 &gt; 49, _xlfn.XLOOKUP(49, År_etter_ferdigstillelse, karbon_opptak_faktor), _xlfn.XLOOKUP('Tillegg- Inndata Øvrige'!H142, År_etter_ferdigstillelse, karbon_opptak_faktor))*'Tillegg- Inndata Øvrige'!G142*'Tillegg- Inndata Øvrige'!L142*0.5))</f>
        <v>0</v>
      </c>
      <c r="W144" s="333">
        <f>IF('Tillegg- Inndata Øvrige'!G142=0,0,IF('Tillegg- Inndata Øvrige'!H142&gt;49,-0.064*'Tillegg- Inndata Øvrige'!G142*'Tillegg- Inndata Øvrige'!N142,-0.037*'Tillegg- Inndata Øvrige'!J142*'Tillegg- Inndata Øvrige'!N142))</f>
        <v>0</v>
      </c>
      <c r="X144" s="331" cm="1">
        <f t="array" ref="X144">IF(SUM(F144:J144,L144)=0, 0, SUM(F144:J144,L144)*(1+'Tillegg-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Y144" s="330" cm="1">
        <f t="array" ref="Y144">IF(X144=0, 0, SUM(K144,M144)*(1+'Tillegg-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Z144" s="336" cm="1">
        <f t="array" ref="Z144">IF(X144=0, 0, SUM(N144:P144)*(1+'Tillegg-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A144" s="336" cm="1">
        <f t="array" ref="AA144">IF(X144=0, 0, ('Tillegg- Inndata Øvrige'!G142+'Tillegg- Inndata Øvrige'!O142+'Tillegg- Inndata Øvrige'!S142)*(1+'Tillegg- Inndata Øvrige'!K142)*Transport_utslipp_til_avfallshånderting_per_kg*IF('Tillegg-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B144" s="334" cm="1">
        <f t="array" ref="AB144">IF(X144=0, 0,1.833*'Tillegg- Inndata Øvrige'!J142*('Tillegg- Inndata Øvrige'!X142*_xlfn.XLOOKUP(IF('Tillegg- Inndata Øvrige'!I142&lt;2,'Tillegg- Inndata Øvrige'!H142,'Tillegg- Inndata Øvrige'!H142*2), År_etter_ferdigstillelse, Faktorer!$Z$7:$Z$58))*('Tillegg- Inndata Øvrige'!L142*0.5+'Tillegg- Inndata Øvrige'!M142*0.8)*_xlfn.XLOOKUP(IF('Tillegg- Inndata Øvrige'!I142&lt;2,'Tillegg- Inndata Øvrige'!H142,'Tillegg- Inndata Øvrige'!H142*2), År_etter_ferdigstillelse,  IF(LEFT('Tillegg- Inndata Øvrige'!B142, 2)= 49, f_tid_x_f_tek_d_0_037, f_tid_x_f_tek_d_0_01)))</f>
        <v>0</v>
      </c>
      <c r="AC144" s="335">
        <f>IF(('Tillegg- Inndata Øvrige'!G142) = 0, 0,('Tillegg- Inndata Øvrige'!G142*((AG144+AI144)*Transport_utslipp_til_avfallshånderting_per_kg)+('Tillegg- Inndata Øvrige'!Z142*'ZERO-B Beregning'!D244)*IF('ZERO-B Beregning'!F245=0,'ZERO-B Beregning'!D245,'ZERO-B Beregning'!F245))*_xlfn.XLOOKUP(51, År_etter_ferdigstillelse, f_tid_x_f_tek_d_0_01))</f>
        <v>0</v>
      </c>
      <c r="AD144" s="337">
        <f>IF(('Tillegg- Inndata Øvrige'!G142) = 0, 0,1.833*('Tillegg- Inndata Øvrige'!G142*('Tillegg- Inndata Øvrige'!L142*0.5+'Tillegg- Inndata Øvrige'!M142*0.8)*AG144*_xlfn.XLOOKUP(51, År_etter_ferdigstillelse,  f_tid_x_f_tek_d_0_01)))</f>
        <v>0</v>
      </c>
      <c r="AE144" s="333" cm="1">
        <f t="array" ref="AE144">IF(('Tillegg- Inndata Øvrige'!G142) = 0, 0,-0.8*('Tillegg- Inndata Øvrige'!G142)*AH144*('Tillegg- Inndata Øvrige'!E142/'Tillegg- Inndata Øvrige'!G142)*_xlfn.XLOOKUP(51, År_etter_ferdigstillelse,  IF(LEFT('Tillegg- Inndata Øvrige'!B142, 2)= 49, f_tid_x_f_tek_d_0_037, f_tid_x_f_tek_d_0_01)))</f>
        <v>0</v>
      </c>
      <c r="AF144" s="338" cm="1">
        <f t="array" ref="AF144">IF(('Tillegg- Inndata Øvrige'!G142) = 0, 0,-0.1*('Tillegg- Inndata Øvrige'!G142)*AI144*('Tillegg- Inndata Øvrige'!E142/'Tillegg- Inndata Øvrige'!G142)*_xlfn.XLOOKUP(51, År_etter_ferdigstillelse,  IF(LEFT('Tillegg- Inndata Øvrige'!B142, 2)= 49, f_tid_x_f_tek_d_0_037, f_tid_x_f_tek_d_0_01)))</f>
        <v>0</v>
      </c>
      <c r="AG144" s="572">
        <f>IF(('Tillegg- Inndata Øvrige'!G142) = 0, 0,'Tillegg- Inndata Øvrige'!X142*Faktorer!$Z$58)</f>
        <v>0</v>
      </c>
      <c r="AH144" s="573">
        <f>IF(('Tillegg- Inndata Øvrige'!G142) = 0, 0,'Tillegg- Inndata Øvrige'!Z142+('Tillegg- Inndata Øvrige'!X142+'Tillegg- Inndata Øvrige'!Y142)*(1-Faktorer!$Z$58)*0.5)</f>
        <v>0</v>
      </c>
      <c r="AI144" s="574">
        <f>IF(('Tillegg- Inndata Øvrige'!G142) = 0, 0,'Tillegg- Inndata Øvrige'!AA142+('Tillegg- Inndata Øvrige'!X142+'Tillegg- Inndata Øvrige'!Y142)*(1-Faktorer!$Z$58)*0.5)</f>
        <v>0</v>
      </c>
      <c r="AK144" s="90">
        <f t="shared" si="3"/>
        <v>0</v>
      </c>
      <c r="AL144" s="91">
        <f>'Tillegg- Res. Det. Øvrige'!N144</f>
        <v>0</v>
      </c>
      <c r="AM144" s="91" t="str">
        <f>IF(F144=0,"",('Tillegg- Inndata Øvrige'!E144+'Tillegg- Inndata Øvrige'!F144)*ROUNDDOWN('Tillegg- Inndata Øvrige'!I144,0)*(1+'Tillegg- Inndata Øvrige'!K144))</f>
        <v/>
      </c>
      <c r="AO144" s="1"/>
    </row>
    <row r="145" spans="2:41">
      <c r="B145" s="327">
        <f>'Tillegg- Inndata Øvrige'!B143</f>
        <v>0</v>
      </c>
      <c r="C145" s="327">
        <f>'Tillegg- Inndata Øvrige'!C143</f>
        <v>0</v>
      </c>
      <c r="D145" s="327">
        <f>'Tillegg- Inndata Øvrige'!D143</f>
        <v>0</v>
      </c>
      <c r="E145" s="421" cm="1">
        <f t="array" ref="E145">SUM(IFERROR(F145:AF145,0))</f>
        <v>0</v>
      </c>
      <c r="F145" s="330">
        <f>'Tillegg- Inndata Øvrige'!E143</f>
        <v>0</v>
      </c>
      <c r="G145" s="330">
        <f>IF('Tillegg- Inndata Øvrige'!AB143="Ja", -0.8*$F145, 0)</f>
        <v>0</v>
      </c>
      <c r="H145" s="330">
        <f>IF('Tillegg- Inndata Øvrige'!AC143="Ja", -0.4*$F145, 0)</f>
        <v>0</v>
      </c>
      <c r="I145" s="330">
        <f>IF('Tillegg- Inndata Øvrige'!AD143="Ja", -1*$F145, 0)</f>
        <v>0</v>
      </c>
      <c r="J145" s="330">
        <f>'Tillegg- Inndata Øvrige'!O143*'Tillegg- Inndata Øvrige'!P143</f>
        <v>0</v>
      </c>
      <c r="K145" s="330">
        <f>MAX(-0.75*(SUM('Tillegg- Res. Det. Øvrige'!F145:J145)),-'Tillegg- Inndata Øvrige'!O143*'Tillegg- Inndata Øvrige'!Q143)</f>
        <v>0</v>
      </c>
      <c r="L145" s="330">
        <f>'Tillegg- Inndata Øvrige'!S143*'Tillegg- Inndata Øvrige'!T143</f>
        <v>0</v>
      </c>
      <c r="M145" s="330">
        <f>MAX(-0.75*(SUM('Tillegg- Res. Det. Øvrige'!F145:I145,L145)),-'Tillegg- Inndata Øvrige'!S143*'Tillegg- Inndata Øvrige'!U143)</f>
        <v>0</v>
      </c>
      <c r="N145" s="331">
        <f>'Tillegg- Inndata Øvrige'!F143</f>
        <v>0</v>
      </c>
      <c r="O145" s="330">
        <f>'Tillegg- Inndata Øvrige'!O143*'Tillegg- Inndata Øvrige'!R143</f>
        <v>0</v>
      </c>
      <c r="P145" s="332">
        <f>'Tillegg- Inndata Øvrige'!S143*'Tillegg- Inndata Øvrige'!V143</f>
        <v>0</v>
      </c>
      <c r="Q145" s="333">
        <f>SUM(F145:J145,L145)*'Tillegg- Inndata Øvrige'!K143</f>
        <v>0</v>
      </c>
      <c r="R145" s="333">
        <f>(K145+M145)*'Tillegg- Inndata Øvrige'!K143</f>
        <v>0</v>
      </c>
      <c r="S145" s="333">
        <f>SUM(N145:P145)*'Tillegg- Inndata Øvrige'!K143</f>
        <v>0</v>
      </c>
      <c r="T145" s="334">
        <f>('Tillegg- Inndata Øvrige'!G143+'Tillegg- Inndata Øvrige'!O143+'Tillegg- Inndata Øvrige'!S143)*'Tillegg- Inndata Øvrige'!K143*Transport_utslipp_til_avfallshånderting_per_kg</f>
        <v>0</v>
      </c>
      <c r="U145" s="330">
        <f>IF('Tillegg- Inndata Øvrige'!E143 = 0, 0, 1.833*'Tillegg- Inndata Øvrige'!X143*'Tillegg- Inndata Øvrige'!K143*('Tillegg- Inndata Øvrige'!G143*('Tillegg- Inndata Øvrige'!L143*0.5+'Tillegg- Inndata Øvrige'!M143*0.8) + (12/44)*('Tillegg- Inndata Øvrige'!O143*'Tillegg- Inndata Øvrige'!Q143+'Tillegg- Inndata Øvrige'!S143*'Tillegg- Inndata Øvrige'!U143)))</f>
        <v>0</v>
      </c>
      <c r="V145" s="335">
        <f>IF('Tillegg- Inndata Øvrige'!G143 = 0, 0,  MAX(-SUM(F145:J145,L145)*'Tillegg- Inndata Øvrige'!L143, -0.114*IF('Tillegg- Inndata Øvrige'!H143 &gt; 49, _xlfn.XLOOKUP(49, År_etter_ferdigstillelse, karbon_opptak_faktor), _xlfn.XLOOKUP('Tillegg- Inndata Øvrige'!H143, År_etter_ferdigstillelse, karbon_opptak_faktor))*'Tillegg- Inndata Øvrige'!G143*'Tillegg- Inndata Øvrige'!L143*0.5))</f>
        <v>0</v>
      </c>
      <c r="W145" s="333">
        <f>IF('Tillegg- Inndata Øvrige'!G143=0,0,IF('Tillegg- Inndata Øvrige'!H143&gt;49,-0.064*'Tillegg- Inndata Øvrige'!G143*'Tillegg- Inndata Øvrige'!N143,-0.037*'Tillegg- Inndata Øvrige'!J143*'Tillegg- Inndata Øvrige'!N143))</f>
        <v>0</v>
      </c>
      <c r="X145" s="331" cm="1">
        <f t="array" ref="X145">IF(SUM(F145:J145,L145)=0, 0, SUM(F145:J145,L145)*(1+'Tillegg-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Y145" s="330" cm="1">
        <f t="array" ref="Y145">IF(X145=0, 0, SUM(K145,M145)*(1+'Tillegg-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Z145" s="336" cm="1">
        <f t="array" ref="Z145">IF(X145=0, 0, SUM(N145:P145)*(1+'Tillegg-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A145" s="336" cm="1">
        <f t="array" ref="AA145">IF(X145=0, 0, ('Tillegg- Inndata Øvrige'!G143+'Tillegg- Inndata Øvrige'!O143+'Tillegg- Inndata Øvrige'!S143)*(1+'Tillegg- Inndata Øvrige'!K143)*Transport_utslipp_til_avfallshånderting_per_kg*IF('Tillegg-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B145" s="334" cm="1">
        <f t="array" ref="AB145">IF(X145=0, 0,1.833*'Tillegg- Inndata Øvrige'!J143*('Tillegg- Inndata Øvrige'!X143*_xlfn.XLOOKUP(IF('Tillegg- Inndata Øvrige'!I143&lt;2,'Tillegg- Inndata Øvrige'!H143,'Tillegg- Inndata Øvrige'!H143*2), År_etter_ferdigstillelse, Faktorer!$Z$7:$Z$58))*('Tillegg- Inndata Øvrige'!L143*0.5+'Tillegg- Inndata Øvrige'!M143*0.8)*_xlfn.XLOOKUP(IF('Tillegg- Inndata Øvrige'!I143&lt;2,'Tillegg- Inndata Øvrige'!H143,'Tillegg- Inndata Øvrige'!H143*2), År_etter_ferdigstillelse,  IF(LEFT('Tillegg- Inndata Øvrige'!B143, 2)= 49, f_tid_x_f_tek_d_0_037, f_tid_x_f_tek_d_0_01)))</f>
        <v>0</v>
      </c>
      <c r="AC145" s="335">
        <f>IF(('Tillegg- Inndata Øvrige'!G143) = 0, 0,('Tillegg- Inndata Øvrige'!G143*((AG145+AI145)*Transport_utslipp_til_avfallshånderting_per_kg)+('Tillegg- Inndata Øvrige'!Z143*'ZERO-B Beregning'!D245)*IF('ZERO-B Beregning'!F246=0,'ZERO-B Beregning'!D246,'ZERO-B Beregning'!F246))*_xlfn.XLOOKUP(51, År_etter_ferdigstillelse, f_tid_x_f_tek_d_0_01))</f>
        <v>0</v>
      </c>
      <c r="AD145" s="337">
        <f>IF(('Tillegg- Inndata Øvrige'!G143) = 0, 0,1.833*('Tillegg- Inndata Øvrige'!G143*('Tillegg- Inndata Øvrige'!L143*0.5+'Tillegg- Inndata Øvrige'!M143*0.8)*AG145*_xlfn.XLOOKUP(51, År_etter_ferdigstillelse,  f_tid_x_f_tek_d_0_01)))</f>
        <v>0</v>
      </c>
      <c r="AE145" s="333" cm="1">
        <f t="array" ref="AE145">IF(('Tillegg- Inndata Øvrige'!G143) = 0, 0,-0.8*('Tillegg- Inndata Øvrige'!G143)*AH145*('Tillegg- Inndata Øvrige'!E143/'Tillegg- Inndata Øvrige'!G143)*_xlfn.XLOOKUP(51, År_etter_ferdigstillelse,  IF(LEFT('Tillegg- Inndata Øvrige'!B143, 2)= 49, f_tid_x_f_tek_d_0_037, f_tid_x_f_tek_d_0_01)))</f>
        <v>0</v>
      </c>
      <c r="AF145" s="338" cm="1">
        <f t="array" ref="AF145">IF(('Tillegg- Inndata Øvrige'!G143) = 0, 0,-0.1*('Tillegg- Inndata Øvrige'!G143)*AI145*('Tillegg- Inndata Øvrige'!E143/'Tillegg- Inndata Øvrige'!G143)*_xlfn.XLOOKUP(51, År_etter_ferdigstillelse,  IF(LEFT('Tillegg- Inndata Øvrige'!B143, 2)= 49, f_tid_x_f_tek_d_0_037, f_tid_x_f_tek_d_0_01)))</f>
        <v>0</v>
      </c>
      <c r="AG145" s="572">
        <f>IF(('Tillegg- Inndata Øvrige'!G143) = 0, 0,'Tillegg- Inndata Øvrige'!X143*Faktorer!$Z$58)</f>
        <v>0</v>
      </c>
      <c r="AH145" s="573">
        <f>IF(('Tillegg- Inndata Øvrige'!G143) = 0, 0,'Tillegg- Inndata Øvrige'!Z143+('Tillegg- Inndata Øvrige'!X143+'Tillegg- Inndata Øvrige'!Y143)*(1-Faktorer!$Z$58)*0.5)</f>
        <v>0</v>
      </c>
      <c r="AI145" s="574">
        <f>IF(('Tillegg- Inndata Øvrige'!G143) = 0, 0,'Tillegg- Inndata Øvrige'!AA143+('Tillegg- Inndata Øvrige'!X143+'Tillegg- Inndata Øvrige'!Y143)*(1-Faktorer!$Z$58)*0.5)</f>
        <v>0</v>
      </c>
      <c r="AK145" s="90">
        <f t="shared" si="3"/>
        <v>0</v>
      </c>
      <c r="AL145" s="91">
        <f>'Tillegg- Res. Det. Øvrige'!N145</f>
        <v>0</v>
      </c>
      <c r="AM145" s="91" t="str">
        <f>IF(F145=0,"",('Tillegg- Inndata Øvrige'!E145+'Tillegg- Inndata Øvrige'!F145)*ROUNDDOWN('Tillegg- Inndata Øvrige'!I145,0)*(1+'Tillegg- Inndata Øvrige'!K145))</f>
        <v/>
      </c>
      <c r="AO145" s="1"/>
    </row>
    <row r="146" spans="2:41">
      <c r="B146" s="327">
        <f>'Tillegg- Inndata Øvrige'!B144</f>
        <v>0</v>
      </c>
      <c r="C146" s="327">
        <f>'Tillegg- Inndata Øvrige'!C144</f>
        <v>0</v>
      </c>
      <c r="D146" s="327">
        <f>'Tillegg- Inndata Øvrige'!D144</f>
        <v>0</v>
      </c>
      <c r="E146" s="421" cm="1">
        <f t="array" ref="E146">SUM(IFERROR(F146:AF146,0))</f>
        <v>0</v>
      </c>
      <c r="F146" s="330">
        <f>'Tillegg- Inndata Øvrige'!E144</f>
        <v>0</v>
      </c>
      <c r="G146" s="330">
        <f>IF('Tillegg- Inndata Øvrige'!AB144="Ja", -0.8*$F146, 0)</f>
        <v>0</v>
      </c>
      <c r="H146" s="330">
        <f>IF('Tillegg- Inndata Øvrige'!AC144="Ja", -0.4*$F146, 0)</f>
        <v>0</v>
      </c>
      <c r="I146" s="330">
        <f>IF('Tillegg- Inndata Øvrige'!AD144="Ja", -1*$F146, 0)</f>
        <v>0</v>
      </c>
      <c r="J146" s="330">
        <f>'Tillegg- Inndata Øvrige'!O144*'Tillegg- Inndata Øvrige'!P144</f>
        <v>0</v>
      </c>
      <c r="K146" s="330">
        <f>MAX(-0.75*(SUM('Tillegg- Res. Det. Øvrige'!F146:J146)),-'Tillegg- Inndata Øvrige'!O144*'Tillegg- Inndata Øvrige'!Q144)</f>
        <v>0</v>
      </c>
      <c r="L146" s="330">
        <f>'Tillegg- Inndata Øvrige'!S144*'Tillegg- Inndata Øvrige'!T144</f>
        <v>0</v>
      </c>
      <c r="M146" s="330">
        <f>MAX(-0.75*(SUM('Tillegg- Res. Det. Øvrige'!F146:I146,L146)),-'Tillegg- Inndata Øvrige'!S144*'Tillegg- Inndata Øvrige'!U144)</f>
        <v>0</v>
      </c>
      <c r="N146" s="331">
        <f>'Tillegg- Inndata Øvrige'!F144</f>
        <v>0</v>
      </c>
      <c r="O146" s="330">
        <f>'Tillegg- Inndata Øvrige'!O144*'Tillegg- Inndata Øvrige'!R144</f>
        <v>0</v>
      </c>
      <c r="P146" s="332">
        <f>'Tillegg- Inndata Øvrige'!S144*'Tillegg- Inndata Øvrige'!V144</f>
        <v>0</v>
      </c>
      <c r="Q146" s="333">
        <f>SUM(F146:J146,L146)*'Tillegg- Inndata Øvrige'!K144</f>
        <v>0</v>
      </c>
      <c r="R146" s="333">
        <f>(K146+M146)*'Tillegg- Inndata Øvrige'!K144</f>
        <v>0</v>
      </c>
      <c r="S146" s="333">
        <f>SUM(N146:P146)*'Tillegg- Inndata Øvrige'!K144</f>
        <v>0</v>
      </c>
      <c r="T146" s="334">
        <f>('Tillegg- Inndata Øvrige'!G144+'Tillegg- Inndata Øvrige'!O144+'Tillegg- Inndata Øvrige'!S144)*'Tillegg- Inndata Øvrige'!K144*Transport_utslipp_til_avfallshånderting_per_kg</f>
        <v>0</v>
      </c>
      <c r="U146" s="330">
        <f>IF('Tillegg- Inndata Øvrige'!E144 = 0, 0, 1.833*'Tillegg- Inndata Øvrige'!X144*'Tillegg- Inndata Øvrige'!K144*('Tillegg- Inndata Øvrige'!G144*('Tillegg- Inndata Øvrige'!L144*0.5+'Tillegg- Inndata Øvrige'!M144*0.8) + (12/44)*('Tillegg- Inndata Øvrige'!O144*'Tillegg- Inndata Øvrige'!Q144+'Tillegg- Inndata Øvrige'!S144*'Tillegg- Inndata Øvrige'!U144)))</f>
        <v>0</v>
      </c>
      <c r="V146" s="335">
        <f>IF('Tillegg- Inndata Øvrige'!G144 = 0, 0,  MAX(-SUM(F146:J146,L146)*'Tillegg- Inndata Øvrige'!L144, -0.114*IF('Tillegg- Inndata Øvrige'!H144 &gt; 49, _xlfn.XLOOKUP(49, År_etter_ferdigstillelse, karbon_opptak_faktor), _xlfn.XLOOKUP('Tillegg- Inndata Øvrige'!H144, År_etter_ferdigstillelse, karbon_opptak_faktor))*'Tillegg- Inndata Øvrige'!G144*'Tillegg- Inndata Øvrige'!L144*0.5))</f>
        <v>0</v>
      </c>
      <c r="W146" s="333">
        <f>IF('Tillegg- Inndata Øvrige'!G144=0,0,IF('Tillegg- Inndata Øvrige'!H144&gt;49,-0.064*'Tillegg- Inndata Øvrige'!G144*'Tillegg- Inndata Øvrige'!N144,-0.037*'Tillegg- Inndata Øvrige'!J144*'Tillegg- Inndata Øvrige'!N144))</f>
        <v>0</v>
      </c>
      <c r="X146" s="331" cm="1">
        <f t="array" ref="X146">IF(SUM(F146:J146,L146)=0, 0, SUM(F146:J146,L146)*(1+'Tillegg-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Y146" s="330" cm="1">
        <f t="array" ref="Y146">IF(X146=0, 0, SUM(K146,M146)*(1+'Tillegg-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Z146" s="336" cm="1">
        <f t="array" ref="Z146">IF(X146=0, 0, SUM(N146:P146)*(1+'Tillegg-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A146" s="336" cm="1">
        <f t="array" ref="AA146">IF(X146=0, 0, ('Tillegg- Inndata Øvrige'!G144+'Tillegg- Inndata Øvrige'!O144+'Tillegg- Inndata Øvrige'!S144)*(1+'Tillegg- Inndata Øvrige'!K144)*Transport_utslipp_til_avfallshånderting_per_kg*IF('Tillegg-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B146" s="334" cm="1">
        <f t="array" ref="AB146">IF(X146=0, 0,1.833*'Tillegg- Inndata Øvrige'!J144*('Tillegg- Inndata Øvrige'!X144*_xlfn.XLOOKUP(IF('Tillegg- Inndata Øvrige'!I144&lt;2,'Tillegg- Inndata Øvrige'!H144,'Tillegg- Inndata Øvrige'!H144*2), År_etter_ferdigstillelse, Faktorer!$Z$7:$Z$58))*('Tillegg- Inndata Øvrige'!L144*0.5+'Tillegg- Inndata Øvrige'!M144*0.8)*_xlfn.XLOOKUP(IF('Tillegg- Inndata Øvrige'!I144&lt;2,'Tillegg- Inndata Øvrige'!H144,'Tillegg- Inndata Øvrige'!H144*2), År_etter_ferdigstillelse,  IF(LEFT('Tillegg- Inndata Øvrige'!B144, 2)= 49, f_tid_x_f_tek_d_0_037, f_tid_x_f_tek_d_0_01)))</f>
        <v>0</v>
      </c>
      <c r="AC146" s="335">
        <f>IF(('Tillegg- Inndata Øvrige'!G144) = 0, 0,('Tillegg- Inndata Øvrige'!G144*((AG146+AI146)*Transport_utslipp_til_avfallshånderting_per_kg)+('Tillegg- Inndata Øvrige'!Z144*'ZERO-B Beregning'!D246)*IF('ZERO-B Beregning'!F247=0,'ZERO-B Beregning'!D247,'ZERO-B Beregning'!F247))*_xlfn.XLOOKUP(51, År_etter_ferdigstillelse, f_tid_x_f_tek_d_0_01))</f>
        <v>0</v>
      </c>
      <c r="AD146" s="337">
        <f>IF(('Tillegg- Inndata Øvrige'!G144) = 0, 0,1.833*('Tillegg- Inndata Øvrige'!G144*('Tillegg- Inndata Øvrige'!L144*0.5+'Tillegg- Inndata Øvrige'!M144*0.8)*AG146*_xlfn.XLOOKUP(51, År_etter_ferdigstillelse,  f_tid_x_f_tek_d_0_01)))</f>
        <v>0</v>
      </c>
      <c r="AE146" s="333" cm="1">
        <f t="array" ref="AE146">IF(('Tillegg- Inndata Øvrige'!G144) = 0, 0,-0.8*('Tillegg- Inndata Øvrige'!G144)*AH146*('Tillegg- Inndata Øvrige'!E144/'Tillegg- Inndata Øvrige'!G144)*_xlfn.XLOOKUP(51, År_etter_ferdigstillelse,  IF(LEFT('Tillegg- Inndata Øvrige'!B144, 2)= 49, f_tid_x_f_tek_d_0_037, f_tid_x_f_tek_d_0_01)))</f>
        <v>0</v>
      </c>
      <c r="AF146" s="338" cm="1">
        <f t="array" ref="AF146">IF(('Tillegg- Inndata Øvrige'!G144) = 0, 0,-0.1*('Tillegg- Inndata Øvrige'!G144)*AI146*('Tillegg- Inndata Øvrige'!E144/'Tillegg- Inndata Øvrige'!G144)*_xlfn.XLOOKUP(51, År_etter_ferdigstillelse,  IF(LEFT('Tillegg- Inndata Øvrige'!B144, 2)= 49, f_tid_x_f_tek_d_0_037, f_tid_x_f_tek_d_0_01)))</f>
        <v>0</v>
      </c>
      <c r="AG146" s="572">
        <f>IF(('Tillegg- Inndata Øvrige'!G144) = 0, 0,'Tillegg- Inndata Øvrige'!X144*Faktorer!$Z$58)</f>
        <v>0</v>
      </c>
      <c r="AH146" s="573">
        <f>IF(('Tillegg- Inndata Øvrige'!G144) = 0, 0,'Tillegg- Inndata Øvrige'!Z144+('Tillegg- Inndata Øvrige'!X144+'Tillegg- Inndata Øvrige'!Y144)*(1-Faktorer!$Z$58)*0.5)</f>
        <v>0</v>
      </c>
      <c r="AI146" s="574">
        <f>IF(('Tillegg- Inndata Øvrige'!G144) = 0, 0,'Tillegg- Inndata Øvrige'!AA144+('Tillegg- Inndata Øvrige'!X144+'Tillegg- Inndata Øvrige'!Y144)*(1-Faktorer!$Z$58)*0.5)</f>
        <v>0</v>
      </c>
      <c r="AK146" s="90">
        <f t="shared" si="3"/>
        <v>0</v>
      </c>
      <c r="AL146" s="91">
        <f>'Tillegg- Res. Det. Øvrige'!N146</f>
        <v>0</v>
      </c>
      <c r="AM146" s="91" t="str">
        <f>IF(F146=0,"",('Tillegg- Inndata Øvrige'!E146+'Tillegg- Inndata Øvrige'!F146)*ROUNDDOWN('Tillegg- Inndata Øvrige'!I146,0)*(1+'Tillegg- Inndata Øvrige'!K146))</f>
        <v/>
      </c>
      <c r="AO146" s="1"/>
    </row>
    <row r="147" spans="2:41">
      <c r="B147" s="327">
        <f>'Tillegg- Inndata Øvrige'!B145</f>
        <v>0</v>
      </c>
      <c r="C147" s="327">
        <f>'Tillegg- Inndata Øvrige'!C145</f>
        <v>0</v>
      </c>
      <c r="D147" s="327">
        <f>'Tillegg- Inndata Øvrige'!D145</f>
        <v>0</v>
      </c>
      <c r="E147" s="421" cm="1">
        <f t="array" ref="E147">SUM(IFERROR(F147:AF147,0))</f>
        <v>0</v>
      </c>
      <c r="F147" s="330">
        <f>'Tillegg- Inndata Øvrige'!E145</f>
        <v>0</v>
      </c>
      <c r="G147" s="330">
        <f>IF('Tillegg- Inndata Øvrige'!AB145="Ja", -0.8*$F147, 0)</f>
        <v>0</v>
      </c>
      <c r="H147" s="330">
        <f>IF('Tillegg- Inndata Øvrige'!AC145="Ja", -0.4*$F147, 0)</f>
        <v>0</v>
      </c>
      <c r="I147" s="330">
        <f>IF('Tillegg- Inndata Øvrige'!AD145="Ja", -1*$F147, 0)</f>
        <v>0</v>
      </c>
      <c r="J147" s="330">
        <f>'Tillegg- Inndata Øvrige'!O145*'Tillegg- Inndata Øvrige'!P145</f>
        <v>0</v>
      </c>
      <c r="K147" s="330">
        <f>MAX(-0.75*(SUM('Tillegg- Res. Det. Øvrige'!F147:J147)),-'Tillegg- Inndata Øvrige'!O145*'Tillegg- Inndata Øvrige'!Q145)</f>
        <v>0</v>
      </c>
      <c r="L147" s="330">
        <f>'Tillegg- Inndata Øvrige'!S145*'Tillegg- Inndata Øvrige'!T145</f>
        <v>0</v>
      </c>
      <c r="M147" s="330">
        <f>MAX(-0.75*(SUM('Tillegg- Res. Det. Øvrige'!F147:I147,L147)),-'Tillegg- Inndata Øvrige'!S145*'Tillegg- Inndata Øvrige'!U145)</f>
        <v>0</v>
      </c>
      <c r="N147" s="331">
        <f>'Tillegg- Inndata Øvrige'!F145</f>
        <v>0</v>
      </c>
      <c r="O147" s="330">
        <f>'Tillegg- Inndata Øvrige'!O145*'Tillegg- Inndata Øvrige'!R145</f>
        <v>0</v>
      </c>
      <c r="P147" s="332">
        <f>'Tillegg- Inndata Øvrige'!S145*'Tillegg- Inndata Øvrige'!V145</f>
        <v>0</v>
      </c>
      <c r="Q147" s="333">
        <f>SUM(F147:J147,L147)*'Tillegg- Inndata Øvrige'!K145</f>
        <v>0</v>
      </c>
      <c r="R147" s="333">
        <f>(K147+M147)*'Tillegg- Inndata Øvrige'!K145</f>
        <v>0</v>
      </c>
      <c r="S147" s="333">
        <f>SUM(N147:P147)*'Tillegg- Inndata Øvrige'!K145</f>
        <v>0</v>
      </c>
      <c r="T147" s="334">
        <f>('Tillegg- Inndata Øvrige'!G145+'Tillegg- Inndata Øvrige'!O145+'Tillegg- Inndata Øvrige'!S145)*'Tillegg- Inndata Øvrige'!K145*Transport_utslipp_til_avfallshånderting_per_kg</f>
        <v>0</v>
      </c>
      <c r="U147" s="330">
        <f>IF('Tillegg- Inndata Øvrige'!E145 = 0, 0, 1.833*'Tillegg- Inndata Øvrige'!X145*'Tillegg- Inndata Øvrige'!K145*('Tillegg- Inndata Øvrige'!G145*('Tillegg- Inndata Øvrige'!L145*0.5+'Tillegg- Inndata Øvrige'!M145*0.8) + (12/44)*('Tillegg- Inndata Øvrige'!O145*'Tillegg- Inndata Øvrige'!Q145+'Tillegg- Inndata Øvrige'!S145*'Tillegg- Inndata Øvrige'!U145)))</f>
        <v>0</v>
      </c>
      <c r="V147" s="335">
        <f>IF('Tillegg- Inndata Øvrige'!G145 = 0, 0,  MAX(-SUM(F147:J147,L147)*'Tillegg- Inndata Øvrige'!L145, -0.114*IF('Tillegg- Inndata Øvrige'!H145 &gt; 49, _xlfn.XLOOKUP(49, År_etter_ferdigstillelse, karbon_opptak_faktor), _xlfn.XLOOKUP('Tillegg- Inndata Øvrige'!H145, År_etter_ferdigstillelse, karbon_opptak_faktor))*'Tillegg- Inndata Øvrige'!G145*'Tillegg- Inndata Øvrige'!L145*0.5))</f>
        <v>0</v>
      </c>
      <c r="W147" s="333">
        <f>IF('Tillegg- Inndata Øvrige'!G145=0,0,IF('Tillegg- Inndata Øvrige'!H145&gt;49,-0.064*'Tillegg- Inndata Øvrige'!G145*'Tillegg- Inndata Øvrige'!N145,-0.037*'Tillegg- Inndata Øvrige'!J145*'Tillegg- Inndata Øvrige'!N145))</f>
        <v>0</v>
      </c>
      <c r="X147" s="331" cm="1">
        <f t="array" ref="X147">IF(SUM(F147:J147,L147)=0, 0, SUM(F147:J147,L147)*(1+'Tillegg-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Y147" s="330" cm="1">
        <f t="array" ref="Y147">IF(X147=0, 0, SUM(K147,M147)*(1+'Tillegg-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Z147" s="336" cm="1">
        <f t="array" ref="Z147">IF(X147=0, 0, SUM(N147:P147)*(1+'Tillegg-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A147" s="336" cm="1">
        <f t="array" ref="AA147">IF(X147=0, 0, ('Tillegg- Inndata Øvrige'!G145+'Tillegg- Inndata Øvrige'!O145+'Tillegg- Inndata Øvrige'!S145)*(1+'Tillegg- Inndata Øvrige'!K145)*Transport_utslipp_til_avfallshånderting_per_kg*IF('Tillegg-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B147" s="334" cm="1">
        <f t="array" ref="AB147">IF(X147=0, 0,1.833*'Tillegg- Inndata Øvrige'!J145*('Tillegg- Inndata Øvrige'!X145*_xlfn.XLOOKUP(IF('Tillegg- Inndata Øvrige'!I145&lt;2,'Tillegg- Inndata Øvrige'!H145,'Tillegg- Inndata Øvrige'!H145*2), År_etter_ferdigstillelse, Faktorer!$Z$7:$Z$58))*('Tillegg- Inndata Øvrige'!L145*0.5+'Tillegg- Inndata Øvrige'!M145*0.8)*_xlfn.XLOOKUP(IF('Tillegg- Inndata Øvrige'!I145&lt;2,'Tillegg- Inndata Øvrige'!H145,'Tillegg- Inndata Øvrige'!H145*2), År_etter_ferdigstillelse,  IF(LEFT('Tillegg- Inndata Øvrige'!B145, 2)= 49, f_tid_x_f_tek_d_0_037, f_tid_x_f_tek_d_0_01)))</f>
        <v>0</v>
      </c>
      <c r="AC147" s="335">
        <f>IF(('Tillegg- Inndata Øvrige'!G145) = 0, 0,('Tillegg- Inndata Øvrige'!G145*((AG147+AI147)*Transport_utslipp_til_avfallshånderting_per_kg)+('Tillegg- Inndata Øvrige'!Z145*'ZERO-B Beregning'!D247)*IF('ZERO-B Beregning'!F248=0,'ZERO-B Beregning'!D248,'ZERO-B Beregning'!F248))*_xlfn.XLOOKUP(51, År_etter_ferdigstillelse, f_tid_x_f_tek_d_0_01))</f>
        <v>0</v>
      </c>
      <c r="AD147" s="337">
        <f>IF(('Tillegg- Inndata Øvrige'!G145) = 0, 0,1.833*('Tillegg- Inndata Øvrige'!G145*('Tillegg- Inndata Øvrige'!L145*0.5+'Tillegg- Inndata Øvrige'!M145*0.8)*AG147*_xlfn.XLOOKUP(51, År_etter_ferdigstillelse,  f_tid_x_f_tek_d_0_01)))</f>
        <v>0</v>
      </c>
      <c r="AE147" s="333" cm="1">
        <f t="array" ref="AE147">IF(('Tillegg- Inndata Øvrige'!G145) = 0, 0,-0.8*('Tillegg- Inndata Øvrige'!G145)*AH147*('Tillegg- Inndata Øvrige'!E145/'Tillegg- Inndata Øvrige'!G145)*_xlfn.XLOOKUP(51, År_etter_ferdigstillelse,  IF(LEFT('Tillegg- Inndata Øvrige'!B145, 2)= 49, f_tid_x_f_tek_d_0_037, f_tid_x_f_tek_d_0_01)))</f>
        <v>0</v>
      </c>
      <c r="AF147" s="338" cm="1">
        <f t="array" ref="AF147">IF(('Tillegg- Inndata Øvrige'!G145) = 0, 0,-0.1*('Tillegg- Inndata Øvrige'!G145)*AI147*('Tillegg- Inndata Øvrige'!E145/'Tillegg- Inndata Øvrige'!G145)*_xlfn.XLOOKUP(51, År_etter_ferdigstillelse,  IF(LEFT('Tillegg- Inndata Øvrige'!B145, 2)= 49, f_tid_x_f_tek_d_0_037, f_tid_x_f_tek_d_0_01)))</f>
        <v>0</v>
      </c>
      <c r="AG147" s="572">
        <f>IF(('Tillegg- Inndata Øvrige'!G145) = 0, 0,'Tillegg- Inndata Øvrige'!X145*Faktorer!$Z$58)</f>
        <v>0</v>
      </c>
      <c r="AH147" s="573">
        <f>IF(('Tillegg- Inndata Øvrige'!G145) = 0, 0,'Tillegg- Inndata Øvrige'!Z145+('Tillegg- Inndata Øvrige'!X145+'Tillegg- Inndata Øvrige'!Y145)*(1-Faktorer!$Z$58)*0.5)</f>
        <v>0</v>
      </c>
      <c r="AI147" s="574">
        <f>IF(('Tillegg- Inndata Øvrige'!G145) = 0, 0,'Tillegg- Inndata Øvrige'!AA145+('Tillegg- Inndata Øvrige'!X145+'Tillegg- Inndata Øvrige'!Y145)*(1-Faktorer!$Z$58)*0.5)</f>
        <v>0</v>
      </c>
      <c r="AK147" s="90">
        <f t="shared" si="3"/>
        <v>0</v>
      </c>
      <c r="AL147" s="91">
        <f>'Tillegg- Res. Det. Øvrige'!N147</f>
        <v>0</v>
      </c>
      <c r="AM147" s="91" t="str">
        <f>IF(F147=0,"",('Tillegg- Inndata Øvrige'!E147+'Tillegg- Inndata Øvrige'!F147)*ROUNDDOWN('Tillegg- Inndata Øvrige'!I147,0)*(1+'Tillegg- Inndata Øvrige'!K147))</f>
        <v/>
      </c>
      <c r="AO147" s="1"/>
    </row>
    <row r="148" spans="2:41">
      <c r="B148" s="327">
        <f>'Tillegg- Inndata Øvrige'!B146</f>
        <v>0</v>
      </c>
      <c r="C148" s="327">
        <f>'Tillegg- Inndata Øvrige'!C146</f>
        <v>0</v>
      </c>
      <c r="D148" s="327">
        <f>'Tillegg- Inndata Øvrige'!D146</f>
        <v>0</v>
      </c>
      <c r="E148" s="421" cm="1">
        <f t="array" ref="E148">SUM(IFERROR(F148:AF148,0))</f>
        <v>0</v>
      </c>
      <c r="F148" s="330">
        <f>'Tillegg- Inndata Øvrige'!E146</f>
        <v>0</v>
      </c>
      <c r="G148" s="330">
        <f>IF('Tillegg- Inndata Øvrige'!AB146="Ja", -0.8*$F148, 0)</f>
        <v>0</v>
      </c>
      <c r="H148" s="330">
        <f>IF('Tillegg- Inndata Øvrige'!AC146="Ja", -0.4*$F148, 0)</f>
        <v>0</v>
      </c>
      <c r="I148" s="330">
        <f>IF('Tillegg- Inndata Øvrige'!AD146="Ja", -1*$F148, 0)</f>
        <v>0</v>
      </c>
      <c r="J148" s="330">
        <f>'Tillegg- Inndata Øvrige'!O146*'Tillegg- Inndata Øvrige'!P146</f>
        <v>0</v>
      </c>
      <c r="K148" s="330">
        <f>MAX(-0.75*(SUM('Tillegg- Res. Det. Øvrige'!F148:J148)),-'Tillegg- Inndata Øvrige'!O146*'Tillegg- Inndata Øvrige'!Q146)</f>
        <v>0</v>
      </c>
      <c r="L148" s="330">
        <f>'Tillegg- Inndata Øvrige'!S146*'Tillegg- Inndata Øvrige'!T146</f>
        <v>0</v>
      </c>
      <c r="M148" s="330">
        <f>MAX(-0.75*(SUM('Tillegg- Res. Det. Øvrige'!F148:I148,L148)),-'Tillegg- Inndata Øvrige'!S146*'Tillegg- Inndata Øvrige'!U146)</f>
        <v>0</v>
      </c>
      <c r="N148" s="331">
        <f>'Tillegg- Inndata Øvrige'!F146</f>
        <v>0</v>
      </c>
      <c r="O148" s="330">
        <f>'Tillegg- Inndata Øvrige'!O146*'Tillegg- Inndata Øvrige'!R146</f>
        <v>0</v>
      </c>
      <c r="P148" s="332">
        <f>'Tillegg- Inndata Øvrige'!S146*'Tillegg- Inndata Øvrige'!V146</f>
        <v>0</v>
      </c>
      <c r="Q148" s="333">
        <f>SUM(F148:J148,L148)*'Tillegg- Inndata Øvrige'!K146</f>
        <v>0</v>
      </c>
      <c r="R148" s="333">
        <f>(K148+M148)*'Tillegg- Inndata Øvrige'!K146</f>
        <v>0</v>
      </c>
      <c r="S148" s="333">
        <f>SUM(N148:P148)*'Tillegg- Inndata Øvrige'!K146</f>
        <v>0</v>
      </c>
      <c r="T148" s="334">
        <f>('Tillegg- Inndata Øvrige'!G146+'Tillegg- Inndata Øvrige'!O146+'Tillegg- Inndata Øvrige'!S146)*'Tillegg- Inndata Øvrige'!K146*Transport_utslipp_til_avfallshånderting_per_kg</f>
        <v>0</v>
      </c>
      <c r="U148" s="330">
        <f>IF('Tillegg- Inndata Øvrige'!E146 = 0, 0, 1.833*'Tillegg- Inndata Øvrige'!X146*'Tillegg- Inndata Øvrige'!K146*('Tillegg- Inndata Øvrige'!G146*('Tillegg- Inndata Øvrige'!L146*0.5+'Tillegg- Inndata Øvrige'!M146*0.8) + (12/44)*('Tillegg- Inndata Øvrige'!O146*'Tillegg- Inndata Øvrige'!Q146+'Tillegg- Inndata Øvrige'!S146*'Tillegg- Inndata Øvrige'!U146)))</f>
        <v>0</v>
      </c>
      <c r="V148" s="335">
        <f>IF('Tillegg- Inndata Øvrige'!G146 = 0, 0,  MAX(-SUM(F148:J148,L148)*'Tillegg- Inndata Øvrige'!L146, -0.114*IF('Tillegg- Inndata Øvrige'!H146 &gt; 49, _xlfn.XLOOKUP(49, År_etter_ferdigstillelse, karbon_opptak_faktor), _xlfn.XLOOKUP('Tillegg- Inndata Øvrige'!H146, År_etter_ferdigstillelse, karbon_opptak_faktor))*'Tillegg- Inndata Øvrige'!G146*'Tillegg- Inndata Øvrige'!L146*0.5))</f>
        <v>0</v>
      </c>
      <c r="W148" s="333">
        <f>IF('Tillegg- Inndata Øvrige'!G146=0,0,IF('Tillegg- Inndata Øvrige'!H146&gt;49,-0.064*'Tillegg- Inndata Øvrige'!G146*'Tillegg- Inndata Øvrige'!N146,-0.037*'Tillegg- Inndata Øvrige'!J146*'Tillegg- Inndata Øvrige'!N146))</f>
        <v>0</v>
      </c>
      <c r="X148" s="331" cm="1">
        <f t="array" ref="X148">IF(SUM(F148:J148,L148)=0, 0, SUM(F148:J148,L148)*(1+'Tillegg-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Y148" s="330" cm="1">
        <f t="array" ref="Y148">IF(X148=0, 0, SUM(K148,M148)*(1+'Tillegg-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Z148" s="336" cm="1">
        <f t="array" ref="Z148">IF(X148=0, 0, SUM(N148:P148)*(1+'Tillegg-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A148" s="336" cm="1">
        <f t="array" ref="AA148">IF(X148=0, 0, ('Tillegg- Inndata Øvrige'!G146+'Tillegg- Inndata Øvrige'!O146+'Tillegg- Inndata Øvrige'!S146)*(1+'Tillegg- Inndata Øvrige'!K146)*Transport_utslipp_til_avfallshånderting_per_kg*IF('Tillegg-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B148" s="334" cm="1">
        <f t="array" ref="AB148">IF(X148=0, 0,1.833*'Tillegg- Inndata Øvrige'!J146*('Tillegg- Inndata Øvrige'!X146*_xlfn.XLOOKUP(IF('Tillegg- Inndata Øvrige'!I146&lt;2,'Tillegg- Inndata Øvrige'!H146,'Tillegg- Inndata Øvrige'!H146*2), År_etter_ferdigstillelse, Faktorer!$Z$7:$Z$58))*('Tillegg- Inndata Øvrige'!L146*0.5+'Tillegg- Inndata Øvrige'!M146*0.8)*_xlfn.XLOOKUP(IF('Tillegg- Inndata Øvrige'!I146&lt;2,'Tillegg- Inndata Øvrige'!H146,'Tillegg- Inndata Øvrige'!H146*2), År_etter_ferdigstillelse,  IF(LEFT('Tillegg- Inndata Øvrige'!B146, 2)= 49, f_tid_x_f_tek_d_0_037, f_tid_x_f_tek_d_0_01)))</f>
        <v>0</v>
      </c>
      <c r="AC148" s="335">
        <f>IF(('Tillegg- Inndata Øvrige'!G146) = 0, 0,('Tillegg- Inndata Øvrige'!G146*((AG148+AI148)*Transport_utslipp_til_avfallshånderting_per_kg)+('Tillegg- Inndata Øvrige'!Z146*'ZERO-B Beregning'!D248)*IF('ZERO-B Beregning'!F249=0,'ZERO-B Beregning'!D249,'ZERO-B Beregning'!F249))*_xlfn.XLOOKUP(51, År_etter_ferdigstillelse, f_tid_x_f_tek_d_0_01))</f>
        <v>0</v>
      </c>
      <c r="AD148" s="337">
        <f>IF(('Tillegg- Inndata Øvrige'!G146) = 0, 0,1.833*('Tillegg- Inndata Øvrige'!G146*('Tillegg- Inndata Øvrige'!L146*0.5+'Tillegg- Inndata Øvrige'!M146*0.8)*AG148*_xlfn.XLOOKUP(51, År_etter_ferdigstillelse,  f_tid_x_f_tek_d_0_01)))</f>
        <v>0</v>
      </c>
      <c r="AE148" s="333" cm="1">
        <f t="array" ref="AE148">IF(('Tillegg- Inndata Øvrige'!G146) = 0, 0,-0.8*('Tillegg- Inndata Øvrige'!G146)*AH148*('Tillegg- Inndata Øvrige'!E146/'Tillegg- Inndata Øvrige'!G146)*_xlfn.XLOOKUP(51, År_etter_ferdigstillelse,  IF(LEFT('Tillegg- Inndata Øvrige'!B146, 2)= 49, f_tid_x_f_tek_d_0_037, f_tid_x_f_tek_d_0_01)))</f>
        <v>0</v>
      </c>
      <c r="AF148" s="338" cm="1">
        <f t="array" ref="AF148">IF(('Tillegg- Inndata Øvrige'!G146) = 0, 0,-0.1*('Tillegg- Inndata Øvrige'!G146)*AI148*('Tillegg- Inndata Øvrige'!E146/'Tillegg- Inndata Øvrige'!G146)*_xlfn.XLOOKUP(51, År_etter_ferdigstillelse,  IF(LEFT('Tillegg- Inndata Øvrige'!B146, 2)= 49, f_tid_x_f_tek_d_0_037, f_tid_x_f_tek_d_0_01)))</f>
        <v>0</v>
      </c>
      <c r="AG148" s="572">
        <f>IF(('Tillegg- Inndata Øvrige'!G146) = 0, 0,'Tillegg- Inndata Øvrige'!X146*Faktorer!$Z$58)</f>
        <v>0</v>
      </c>
      <c r="AH148" s="573">
        <f>IF(('Tillegg- Inndata Øvrige'!G146) = 0, 0,'Tillegg- Inndata Øvrige'!Z146+('Tillegg- Inndata Øvrige'!X146+'Tillegg- Inndata Øvrige'!Y146)*(1-Faktorer!$Z$58)*0.5)</f>
        <v>0</v>
      </c>
      <c r="AI148" s="574">
        <f>IF(('Tillegg- Inndata Øvrige'!G146) = 0, 0,'Tillegg- Inndata Øvrige'!AA146+('Tillegg- Inndata Øvrige'!X146+'Tillegg- Inndata Øvrige'!Y146)*(1-Faktorer!$Z$58)*0.5)</f>
        <v>0</v>
      </c>
      <c r="AK148" s="90">
        <f t="shared" si="3"/>
        <v>0</v>
      </c>
      <c r="AL148" s="91">
        <f>'Tillegg- Res. Det. Øvrige'!N148</f>
        <v>0</v>
      </c>
      <c r="AM148" s="91" t="str">
        <f>IF(F148=0,"",('Tillegg- Inndata Øvrige'!E148+'Tillegg- Inndata Øvrige'!F148)*ROUNDDOWN('Tillegg- Inndata Øvrige'!I148,0)*(1+'Tillegg- Inndata Øvrige'!K148))</f>
        <v/>
      </c>
      <c r="AO148" s="1"/>
    </row>
    <row r="149" spans="2:41">
      <c r="B149" s="327">
        <f>'Tillegg- Inndata Øvrige'!B147</f>
        <v>0</v>
      </c>
      <c r="C149" s="327">
        <f>'Tillegg- Inndata Øvrige'!C147</f>
        <v>0</v>
      </c>
      <c r="D149" s="327">
        <f>'Tillegg- Inndata Øvrige'!D147</f>
        <v>0</v>
      </c>
      <c r="E149" s="421" cm="1">
        <f t="array" ref="E149">SUM(IFERROR(F149:AF149,0))</f>
        <v>0</v>
      </c>
      <c r="F149" s="330">
        <f>'Tillegg- Inndata Øvrige'!E147</f>
        <v>0</v>
      </c>
      <c r="G149" s="330">
        <f>IF('Tillegg- Inndata Øvrige'!AB147="Ja", -0.8*$F149, 0)</f>
        <v>0</v>
      </c>
      <c r="H149" s="330">
        <f>IF('Tillegg- Inndata Øvrige'!AC147="Ja", -0.4*$F149, 0)</f>
        <v>0</v>
      </c>
      <c r="I149" s="330">
        <f>IF('Tillegg- Inndata Øvrige'!AD147="Ja", -1*$F149, 0)</f>
        <v>0</v>
      </c>
      <c r="J149" s="330">
        <f>'Tillegg- Inndata Øvrige'!O147*'Tillegg- Inndata Øvrige'!P147</f>
        <v>0</v>
      </c>
      <c r="K149" s="330">
        <f>MAX(-0.75*(SUM('Tillegg- Res. Det. Øvrige'!F149:J149)),-'Tillegg- Inndata Øvrige'!O147*'Tillegg- Inndata Øvrige'!Q147)</f>
        <v>0</v>
      </c>
      <c r="L149" s="330">
        <f>'Tillegg- Inndata Øvrige'!S147*'Tillegg- Inndata Øvrige'!T147</f>
        <v>0</v>
      </c>
      <c r="M149" s="330">
        <f>MAX(-0.75*(SUM('Tillegg- Res. Det. Øvrige'!F149:I149,L149)),-'Tillegg- Inndata Øvrige'!S147*'Tillegg- Inndata Øvrige'!U147)</f>
        <v>0</v>
      </c>
      <c r="N149" s="331">
        <f>'Tillegg- Inndata Øvrige'!F147</f>
        <v>0</v>
      </c>
      <c r="O149" s="330">
        <f>'Tillegg- Inndata Øvrige'!O147*'Tillegg- Inndata Øvrige'!R147</f>
        <v>0</v>
      </c>
      <c r="P149" s="332">
        <f>'Tillegg- Inndata Øvrige'!S147*'Tillegg- Inndata Øvrige'!V147</f>
        <v>0</v>
      </c>
      <c r="Q149" s="333">
        <f>SUM(F149:J149,L149)*'Tillegg- Inndata Øvrige'!K147</f>
        <v>0</v>
      </c>
      <c r="R149" s="333">
        <f>(K149+M149)*'Tillegg- Inndata Øvrige'!K147</f>
        <v>0</v>
      </c>
      <c r="S149" s="333">
        <f>SUM(N149:P149)*'Tillegg- Inndata Øvrige'!K147</f>
        <v>0</v>
      </c>
      <c r="T149" s="334">
        <f>('Tillegg- Inndata Øvrige'!G147+'Tillegg- Inndata Øvrige'!O147+'Tillegg- Inndata Øvrige'!S147)*'Tillegg- Inndata Øvrige'!K147*Transport_utslipp_til_avfallshånderting_per_kg</f>
        <v>0</v>
      </c>
      <c r="U149" s="330">
        <f>IF('Tillegg- Inndata Øvrige'!E147 = 0, 0, 1.833*'Tillegg- Inndata Øvrige'!X147*'Tillegg- Inndata Øvrige'!K147*('Tillegg- Inndata Øvrige'!G147*('Tillegg- Inndata Øvrige'!L147*0.5+'Tillegg- Inndata Øvrige'!M147*0.8) + (12/44)*('Tillegg- Inndata Øvrige'!O147*'Tillegg- Inndata Øvrige'!Q147+'Tillegg- Inndata Øvrige'!S147*'Tillegg- Inndata Øvrige'!U147)))</f>
        <v>0</v>
      </c>
      <c r="V149" s="335">
        <f>IF('Tillegg- Inndata Øvrige'!G147 = 0, 0,  MAX(-SUM(F149:J149,L149)*'Tillegg- Inndata Øvrige'!L147, -0.114*IF('Tillegg- Inndata Øvrige'!H147 &gt; 49, _xlfn.XLOOKUP(49, År_etter_ferdigstillelse, karbon_opptak_faktor), _xlfn.XLOOKUP('Tillegg- Inndata Øvrige'!H147, År_etter_ferdigstillelse, karbon_opptak_faktor))*'Tillegg- Inndata Øvrige'!G147*'Tillegg- Inndata Øvrige'!L147*0.5))</f>
        <v>0</v>
      </c>
      <c r="W149" s="333">
        <f>IF('Tillegg- Inndata Øvrige'!G147=0,0,IF('Tillegg- Inndata Øvrige'!H147&gt;49,-0.064*'Tillegg- Inndata Øvrige'!G147*'Tillegg- Inndata Øvrige'!N147,-0.037*'Tillegg- Inndata Øvrige'!J147*'Tillegg- Inndata Øvrige'!N147))</f>
        <v>0</v>
      </c>
      <c r="X149" s="331" cm="1">
        <f t="array" ref="X149">IF(SUM(F149:J149,L149)=0, 0, SUM(F149:J149,L149)*(1+'Tillegg-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Y149" s="330" cm="1">
        <f t="array" ref="Y149">IF(X149=0, 0, SUM(K149,M149)*(1+'Tillegg-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Z149" s="336" cm="1">
        <f t="array" ref="Z149">IF(X149=0, 0, SUM(N149:P149)*(1+'Tillegg-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A149" s="336" cm="1">
        <f t="array" ref="AA149">IF(X149=0, 0, ('Tillegg- Inndata Øvrige'!G147+'Tillegg- Inndata Øvrige'!O147+'Tillegg- Inndata Øvrige'!S147)*(1+'Tillegg- Inndata Øvrige'!K147)*Transport_utslipp_til_avfallshånderting_per_kg*IF('Tillegg-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B149" s="334" cm="1">
        <f t="array" ref="AB149">IF(X149=0, 0,1.833*'Tillegg- Inndata Øvrige'!J147*('Tillegg- Inndata Øvrige'!X147*_xlfn.XLOOKUP(IF('Tillegg- Inndata Øvrige'!I147&lt;2,'Tillegg- Inndata Øvrige'!H147,'Tillegg- Inndata Øvrige'!H147*2), År_etter_ferdigstillelse, Faktorer!$Z$7:$Z$58))*('Tillegg- Inndata Øvrige'!L147*0.5+'Tillegg- Inndata Øvrige'!M147*0.8)*_xlfn.XLOOKUP(IF('Tillegg- Inndata Øvrige'!I147&lt;2,'Tillegg- Inndata Øvrige'!H147,'Tillegg- Inndata Øvrige'!H147*2), År_etter_ferdigstillelse,  IF(LEFT('Tillegg- Inndata Øvrige'!B147, 2)= 49, f_tid_x_f_tek_d_0_037, f_tid_x_f_tek_d_0_01)))</f>
        <v>0</v>
      </c>
      <c r="AC149" s="335">
        <f>IF(('Tillegg- Inndata Øvrige'!G147) = 0, 0,('Tillegg- Inndata Øvrige'!G147*((AG149+AI149)*Transport_utslipp_til_avfallshånderting_per_kg)+('Tillegg- Inndata Øvrige'!Z147*'ZERO-B Beregning'!D249)*IF('ZERO-B Beregning'!F250=0,'ZERO-B Beregning'!D250,'ZERO-B Beregning'!F250))*_xlfn.XLOOKUP(51, År_etter_ferdigstillelse, f_tid_x_f_tek_d_0_01))</f>
        <v>0</v>
      </c>
      <c r="AD149" s="337">
        <f>IF(('Tillegg- Inndata Øvrige'!G147) = 0, 0,1.833*('Tillegg- Inndata Øvrige'!G147*('Tillegg- Inndata Øvrige'!L147*0.5+'Tillegg- Inndata Øvrige'!M147*0.8)*AG149*_xlfn.XLOOKUP(51, År_etter_ferdigstillelse,  f_tid_x_f_tek_d_0_01)))</f>
        <v>0</v>
      </c>
      <c r="AE149" s="333" cm="1">
        <f t="array" ref="AE149">IF(('Tillegg- Inndata Øvrige'!G147) = 0, 0,-0.8*('Tillegg- Inndata Øvrige'!G147)*AH149*('Tillegg- Inndata Øvrige'!E147/'Tillegg- Inndata Øvrige'!G147)*_xlfn.XLOOKUP(51, År_etter_ferdigstillelse,  IF(LEFT('Tillegg- Inndata Øvrige'!B147, 2)= 49, f_tid_x_f_tek_d_0_037, f_tid_x_f_tek_d_0_01)))</f>
        <v>0</v>
      </c>
      <c r="AF149" s="338" cm="1">
        <f t="array" ref="AF149">IF(('Tillegg- Inndata Øvrige'!G147) = 0, 0,-0.1*('Tillegg- Inndata Øvrige'!G147)*AI149*('Tillegg- Inndata Øvrige'!E147/'Tillegg- Inndata Øvrige'!G147)*_xlfn.XLOOKUP(51, År_etter_ferdigstillelse,  IF(LEFT('Tillegg- Inndata Øvrige'!B147, 2)= 49, f_tid_x_f_tek_d_0_037, f_tid_x_f_tek_d_0_01)))</f>
        <v>0</v>
      </c>
      <c r="AG149" s="572">
        <f>IF(('Tillegg- Inndata Øvrige'!G147) = 0, 0,'Tillegg- Inndata Øvrige'!X147*Faktorer!$Z$58)</f>
        <v>0</v>
      </c>
      <c r="AH149" s="573">
        <f>IF(('Tillegg- Inndata Øvrige'!G147) = 0, 0,'Tillegg- Inndata Øvrige'!Z147+('Tillegg- Inndata Øvrige'!X147+'Tillegg- Inndata Øvrige'!Y147)*(1-Faktorer!$Z$58)*0.5)</f>
        <v>0</v>
      </c>
      <c r="AI149" s="574">
        <f>IF(('Tillegg- Inndata Øvrige'!G147) = 0, 0,'Tillegg- Inndata Øvrige'!AA147+('Tillegg- Inndata Øvrige'!X147+'Tillegg- Inndata Øvrige'!Y147)*(1-Faktorer!$Z$58)*0.5)</f>
        <v>0</v>
      </c>
      <c r="AK149" s="90">
        <f t="shared" si="3"/>
        <v>0</v>
      </c>
      <c r="AL149" s="91">
        <f>'Tillegg- Res. Det. Øvrige'!N149</f>
        <v>0</v>
      </c>
      <c r="AM149" s="91" t="str">
        <f>IF(F149=0,"",('Tillegg- Inndata Øvrige'!E149+'Tillegg- Inndata Øvrige'!F149)*ROUNDDOWN('Tillegg- Inndata Øvrige'!I149,0)*(1+'Tillegg- Inndata Øvrige'!K149))</f>
        <v/>
      </c>
      <c r="AO149" s="1"/>
    </row>
    <row r="150" spans="2:41">
      <c r="B150" s="327">
        <f>'Tillegg- Inndata Øvrige'!B148</f>
        <v>0</v>
      </c>
      <c r="C150" s="327">
        <f>'Tillegg- Inndata Øvrige'!C148</f>
        <v>0</v>
      </c>
      <c r="D150" s="327">
        <f>'Tillegg- Inndata Øvrige'!D148</f>
        <v>0</v>
      </c>
      <c r="E150" s="421" cm="1">
        <f t="array" ref="E150">SUM(IFERROR(F150:AF150,0))</f>
        <v>0</v>
      </c>
      <c r="F150" s="330">
        <f>'Tillegg- Inndata Øvrige'!E148</f>
        <v>0</v>
      </c>
      <c r="G150" s="330">
        <f>IF('Tillegg- Inndata Øvrige'!AB148="Ja", -0.8*$F150, 0)</f>
        <v>0</v>
      </c>
      <c r="H150" s="330">
        <f>IF('Tillegg- Inndata Øvrige'!AC148="Ja", -0.4*$F150, 0)</f>
        <v>0</v>
      </c>
      <c r="I150" s="330">
        <f>IF('Tillegg- Inndata Øvrige'!AD148="Ja", -1*$F150, 0)</f>
        <v>0</v>
      </c>
      <c r="J150" s="330">
        <f>'Tillegg- Inndata Øvrige'!O148*'Tillegg- Inndata Øvrige'!P148</f>
        <v>0</v>
      </c>
      <c r="K150" s="330">
        <f>MAX(-0.75*(SUM('Tillegg- Res. Det. Øvrige'!F150:J150)),-'Tillegg- Inndata Øvrige'!O148*'Tillegg- Inndata Øvrige'!Q148)</f>
        <v>0</v>
      </c>
      <c r="L150" s="330">
        <f>'Tillegg- Inndata Øvrige'!S148*'Tillegg- Inndata Øvrige'!T148</f>
        <v>0</v>
      </c>
      <c r="M150" s="330">
        <f>MAX(-0.75*(SUM('Tillegg- Res. Det. Øvrige'!F150:I150,L150)),-'Tillegg- Inndata Øvrige'!S148*'Tillegg- Inndata Øvrige'!U148)</f>
        <v>0</v>
      </c>
      <c r="N150" s="331">
        <f>'Tillegg- Inndata Øvrige'!F148</f>
        <v>0</v>
      </c>
      <c r="O150" s="330">
        <f>'Tillegg- Inndata Øvrige'!O148*'Tillegg- Inndata Øvrige'!R148</f>
        <v>0</v>
      </c>
      <c r="P150" s="332">
        <f>'Tillegg- Inndata Øvrige'!S148*'Tillegg- Inndata Øvrige'!V148</f>
        <v>0</v>
      </c>
      <c r="Q150" s="333">
        <f>SUM(F150:J150,L150)*'Tillegg- Inndata Øvrige'!K148</f>
        <v>0</v>
      </c>
      <c r="R150" s="333">
        <f>(K150+M150)*'Tillegg- Inndata Øvrige'!K148</f>
        <v>0</v>
      </c>
      <c r="S150" s="333">
        <f>SUM(N150:P150)*'Tillegg- Inndata Øvrige'!K148</f>
        <v>0</v>
      </c>
      <c r="T150" s="334">
        <f>('Tillegg- Inndata Øvrige'!G148+'Tillegg- Inndata Øvrige'!O148+'Tillegg- Inndata Øvrige'!S148)*'Tillegg- Inndata Øvrige'!K148*Transport_utslipp_til_avfallshånderting_per_kg</f>
        <v>0</v>
      </c>
      <c r="U150" s="330">
        <f>IF('Tillegg- Inndata Øvrige'!E148 = 0, 0, 1.833*'Tillegg- Inndata Øvrige'!X148*'Tillegg- Inndata Øvrige'!K148*('Tillegg- Inndata Øvrige'!G148*('Tillegg- Inndata Øvrige'!L148*0.5+'Tillegg- Inndata Øvrige'!M148*0.8) + (12/44)*('Tillegg- Inndata Øvrige'!O148*'Tillegg- Inndata Øvrige'!Q148+'Tillegg- Inndata Øvrige'!S148*'Tillegg- Inndata Øvrige'!U148)))</f>
        <v>0</v>
      </c>
      <c r="V150" s="335">
        <f>IF('Tillegg- Inndata Øvrige'!G148 = 0, 0,  MAX(-SUM(F150:J150,L150)*'Tillegg- Inndata Øvrige'!L148, -0.114*IF('Tillegg- Inndata Øvrige'!H148 &gt; 49, _xlfn.XLOOKUP(49, År_etter_ferdigstillelse, karbon_opptak_faktor), _xlfn.XLOOKUP('Tillegg- Inndata Øvrige'!H148, År_etter_ferdigstillelse, karbon_opptak_faktor))*'Tillegg- Inndata Øvrige'!G148*'Tillegg- Inndata Øvrige'!L148*0.5))</f>
        <v>0</v>
      </c>
      <c r="W150" s="333">
        <f>IF('Tillegg- Inndata Øvrige'!G148=0,0,IF('Tillegg- Inndata Øvrige'!H148&gt;49,-0.064*'Tillegg- Inndata Øvrige'!G148*'Tillegg- Inndata Øvrige'!N148,-0.037*'Tillegg- Inndata Øvrige'!J148*'Tillegg- Inndata Øvrige'!N148))</f>
        <v>0</v>
      </c>
      <c r="X150" s="331" cm="1">
        <f t="array" ref="X150">IF(SUM(F150:J150,L150)=0, 0, SUM(F150:J150,L150)*(1+'Tillegg-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Y150" s="330" cm="1">
        <f t="array" ref="Y150">IF(X150=0, 0, SUM(K150,M150)*(1+'Tillegg-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Z150" s="336" cm="1">
        <f t="array" ref="Z150">IF(X150=0, 0, SUM(N150:P150)*(1+'Tillegg-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A150" s="336" cm="1">
        <f t="array" ref="AA150">IF(X150=0, 0, ('Tillegg- Inndata Øvrige'!G148+'Tillegg- Inndata Øvrige'!O148+'Tillegg- Inndata Øvrige'!S148)*(1+'Tillegg- Inndata Øvrige'!K148)*Transport_utslipp_til_avfallshånderting_per_kg*IF('Tillegg-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B150" s="334" cm="1">
        <f t="array" ref="AB150">IF(X150=0, 0,1.833*'Tillegg- Inndata Øvrige'!J148*('Tillegg- Inndata Øvrige'!X148*_xlfn.XLOOKUP(IF('Tillegg- Inndata Øvrige'!I148&lt;2,'Tillegg- Inndata Øvrige'!H148,'Tillegg- Inndata Øvrige'!H148*2), År_etter_ferdigstillelse, Faktorer!$Z$7:$Z$58))*('Tillegg- Inndata Øvrige'!L148*0.5+'Tillegg- Inndata Øvrige'!M148*0.8)*_xlfn.XLOOKUP(IF('Tillegg- Inndata Øvrige'!I148&lt;2,'Tillegg- Inndata Øvrige'!H148,'Tillegg- Inndata Øvrige'!H148*2), År_etter_ferdigstillelse,  IF(LEFT('Tillegg- Inndata Øvrige'!B148, 2)= 49, f_tid_x_f_tek_d_0_037, f_tid_x_f_tek_d_0_01)))</f>
        <v>0</v>
      </c>
      <c r="AC150" s="335">
        <f>IF(('Tillegg- Inndata Øvrige'!G148) = 0, 0,('Tillegg- Inndata Øvrige'!G148*((AG150+AI150)*Transport_utslipp_til_avfallshånderting_per_kg)+('Tillegg- Inndata Øvrige'!Z148*'ZERO-B Beregning'!D250)*IF('ZERO-B Beregning'!F251=0,'ZERO-B Beregning'!D251,'ZERO-B Beregning'!F251))*_xlfn.XLOOKUP(51, År_etter_ferdigstillelse, f_tid_x_f_tek_d_0_01))</f>
        <v>0</v>
      </c>
      <c r="AD150" s="337">
        <f>IF(('Tillegg- Inndata Øvrige'!G148) = 0, 0,1.833*('Tillegg- Inndata Øvrige'!G148*('Tillegg- Inndata Øvrige'!L148*0.5+'Tillegg- Inndata Øvrige'!M148*0.8)*AG150*_xlfn.XLOOKUP(51, År_etter_ferdigstillelse,  f_tid_x_f_tek_d_0_01)))</f>
        <v>0</v>
      </c>
      <c r="AE150" s="333" cm="1">
        <f t="array" ref="AE150">IF(('Tillegg- Inndata Øvrige'!G148) = 0, 0,-0.8*('Tillegg- Inndata Øvrige'!G148)*AH150*('Tillegg- Inndata Øvrige'!E148/'Tillegg- Inndata Øvrige'!G148)*_xlfn.XLOOKUP(51, År_etter_ferdigstillelse,  IF(LEFT('Tillegg- Inndata Øvrige'!B148, 2)= 49, f_tid_x_f_tek_d_0_037, f_tid_x_f_tek_d_0_01)))</f>
        <v>0</v>
      </c>
      <c r="AF150" s="338" cm="1">
        <f t="array" ref="AF150">IF(('Tillegg- Inndata Øvrige'!G148) = 0, 0,-0.1*('Tillegg- Inndata Øvrige'!G148)*AI150*('Tillegg- Inndata Øvrige'!E148/'Tillegg- Inndata Øvrige'!G148)*_xlfn.XLOOKUP(51, År_etter_ferdigstillelse,  IF(LEFT('Tillegg- Inndata Øvrige'!B148, 2)= 49, f_tid_x_f_tek_d_0_037, f_tid_x_f_tek_d_0_01)))</f>
        <v>0</v>
      </c>
      <c r="AG150" s="572">
        <f>IF(('Tillegg- Inndata Øvrige'!G148) = 0, 0,'Tillegg- Inndata Øvrige'!X148*Faktorer!$Z$58)</f>
        <v>0</v>
      </c>
      <c r="AH150" s="573">
        <f>IF(('Tillegg- Inndata Øvrige'!G148) = 0, 0,'Tillegg- Inndata Øvrige'!Z148+('Tillegg- Inndata Øvrige'!X148+'Tillegg- Inndata Øvrige'!Y148)*(1-Faktorer!$Z$58)*0.5)</f>
        <v>0</v>
      </c>
      <c r="AI150" s="574">
        <f>IF(('Tillegg- Inndata Øvrige'!G148) = 0, 0,'Tillegg- Inndata Øvrige'!AA148+('Tillegg- Inndata Øvrige'!X148+'Tillegg- Inndata Øvrige'!Y148)*(1-Faktorer!$Z$58)*0.5)</f>
        <v>0</v>
      </c>
      <c r="AK150" s="90">
        <f t="shared" si="3"/>
        <v>0</v>
      </c>
      <c r="AL150" s="91">
        <f>'Tillegg- Res. Det. Øvrige'!N150</f>
        <v>0</v>
      </c>
      <c r="AM150" s="91" t="str">
        <f>IF(F150=0,"",('Tillegg- Inndata Øvrige'!E150+'Tillegg- Inndata Øvrige'!F150)*ROUNDDOWN('Tillegg- Inndata Øvrige'!I150,0)*(1+'Tillegg- Inndata Øvrige'!K150))</f>
        <v/>
      </c>
      <c r="AO150" s="1"/>
    </row>
    <row r="151" spans="2:41">
      <c r="B151" s="327">
        <f>'Tillegg- Inndata Øvrige'!B149</f>
        <v>0</v>
      </c>
      <c r="C151" s="327">
        <f>'Tillegg- Inndata Øvrige'!C149</f>
        <v>0</v>
      </c>
      <c r="D151" s="327">
        <f>'Tillegg- Inndata Øvrige'!D149</f>
        <v>0</v>
      </c>
      <c r="E151" s="421" cm="1">
        <f t="array" ref="E151">SUM(IFERROR(F151:AF151,0))</f>
        <v>0</v>
      </c>
      <c r="F151" s="330">
        <f>'Tillegg- Inndata Øvrige'!E149</f>
        <v>0</v>
      </c>
      <c r="G151" s="330">
        <f>IF('Tillegg- Inndata Øvrige'!AB149="Ja", -0.8*$F151, 0)</f>
        <v>0</v>
      </c>
      <c r="H151" s="330">
        <f>IF('Tillegg- Inndata Øvrige'!AC149="Ja", -0.4*$F151, 0)</f>
        <v>0</v>
      </c>
      <c r="I151" s="330">
        <f>IF('Tillegg- Inndata Øvrige'!AD149="Ja", -1*$F151, 0)</f>
        <v>0</v>
      </c>
      <c r="J151" s="330">
        <f>'Tillegg- Inndata Øvrige'!O149*'Tillegg- Inndata Øvrige'!P149</f>
        <v>0</v>
      </c>
      <c r="K151" s="330">
        <f>MAX(-0.75*(SUM('Tillegg- Res. Det. Øvrige'!F151:J151)),-'Tillegg- Inndata Øvrige'!O149*'Tillegg- Inndata Øvrige'!Q149)</f>
        <v>0</v>
      </c>
      <c r="L151" s="330">
        <f>'Tillegg- Inndata Øvrige'!S149*'Tillegg- Inndata Øvrige'!T149</f>
        <v>0</v>
      </c>
      <c r="M151" s="330">
        <f>MAX(-0.75*(SUM('Tillegg- Res. Det. Øvrige'!F151:I151,L151)),-'Tillegg- Inndata Øvrige'!S149*'Tillegg- Inndata Øvrige'!U149)</f>
        <v>0</v>
      </c>
      <c r="N151" s="331">
        <f>'Tillegg- Inndata Øvrige'!F149</f>
        <v>0</v>
      </c>
      <c r="O151" s="330">
        <f>'Tillegg- Inndata Øvrige'!O149*'Tillegg- Inndata Øvrige'!R149</f>
        <v>0</v>
      </c>
      <c r="P151" s="332">
        <f>'Tillegg- Inndata Øvrige'!S149*'Tillegg- Inndata Øvrige'!V149</f>
        <v>0</v>
      </c>
      <c r="Q151" s="333">
        <f>SUM(F151:J151,L151)*'Tillegg- Inndata Øvrige'!K149</f>
        <v>0</v>
      </c>
      <c r="R151" s="333">
        <f>(K151+M151)*'Tillegg- Inndata Øvrige'!K149</f>
        <v>0</v>
      </c>
      <c r="S151" s="333">
        <f>SUM(N151:P151)*'Tillegg- Inndata Øvrige'!K149</f>
        <v>0</v>
      </c>
      <c r="T151" s="334">
        <f>('Tillegg- Inndata Øvrige'!G149+'Tillegg- Inndata Øvrige'!O149+'Tillegg- Inndata Øvrige'!S149)*'Tillegg- Inndata Øvrige'!K149*Transport_utslipp_til_avfallshånderting_per_kg</f>
        <v>0</v>
      </c>
      <c r="U151" s="330">
        <f>IF('Tillegg- Inndata Øvrige'!E149 = 0, 0, 1.833*'Tillegg- Inndata Øvrige'!X149*'Tillegg- Inndata Øvrige'!K149*('Tillegg- Inndata Øvrige'!G149*('Tillegg- Inndata Øvrige'!L149*0.5+'Tillegg- Inndata Øvrige'!M149*0.8) + (12/44)*('Tillegg- Inndata Øvrige'!O149*'Tillegg- Inndata Øvrige'!Q149+'Tillegg- Inndata Øvrige'!S149*'Tillegg- Inndata Øvrige'!U149)))</f>
        <v>0</v>
      </c>
      <c r="V151" s="335">
        <f>IF('Tillegg- Inndata Øvrige'!G149 = 0, 0,  MAX(-SUM(F151:J151,L151)*'Tillegg- Inndata Øvrige'!L149, -0.114*IF('Tillegg- Inndata Øvrige'!H149 &gt; 49, _xlfn.XLOOKUP(49, År_etter_ferdigstillelse, karbon_opptak_faktor), _xlfn.XLOOKUP('Tillegg- Inndata Øvrige'!H149, År_etter_ferdigstillelse, karbon_opptak_faktor))*'Tillegg- Inndata Øvrige'!G149*'Tillegg- Inndata Øvrige'!L149*0.5))</f>
        <v>0</v>
      </c>
      <c r="W151" s="333">
        <f>IF('Tillegg- Inndata Øvrige'!G149=0,0,IF('Tillegg- Inndata Øvrige'!H149&gt;49,-0.064*'Tillegg- Inndata Øvrige'!G149*'Tillegg- Inndata Øvrige'!N149,-0.037*'Tillegg- Inndata Øvrige'!J149*'Tillegg- Inndata Øvrige'!N149))</f>
        <v>0</v>
      </c>
      <c r="X151" s="331" cm="1">
        <f t="array" ref="X151">IF(SUM(F151:J151,L151)=0, 0, SUM(F151:J151,L151)*(1+'Tillegg-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Y151" s="330" cm="1">
        <f t="array" ref="Y151">IF(X151=0, 0, SUM(K151,M151)*(1+'Tillegg-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Z151" s="336" cm="1">
        <f t="array" ref="Z151">IF(X151=0, 0, SUM(N151:P151)*(1+'Tillegg-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A151" s="336" cm="1">
        <f t="array" ref="AA151">IF(X151=0, 0, ('Tillegg- Inndata Øvrige'!G149+'Tillegg- Inndata Øvrige'!O149+'Tillegg- Inndata Øvrige'!S149)*(1+'Tillegg- Inndata Øvrige'!K149)*Transport_utslipp_til_avfallshånderting_per_kg*IF('Tillegg-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B151" s="334" cm="1">
        <f t="array" ref="AB151">IF(X151=0, 0,1.833*'Tillegg- Inndata Øvrige'!J149*('Tillegg- Inndata Øvrige'!X149*_xlfn.XLOOKUP(IF('Tillegg- Inndata Øvrige'!I149&lt;2,'Tillegg- Inndata Øvrige'!H149,'Tillegg- Inndata Øvrige'!H149*2), År_etter_ferdigstillelse, Faktorer!$Z$7:$Z$58))*('Tillegg- Inndata Øvrige'!L149*0.5+'Tillegg- Inndata Øvrige'!M149*0.8)*_xlfn.XLOOKUP(IF('Tillegg- Inndata Øvrige'!I149&lt;2,'Tillegg- Inndata Øvrige'!H149,'Tillegg- Inndata Øvrige'!H149*2), År_etter_ferdigstillelse,  IF(LEFT('Tillegg- Inndata Øvrige'!B149, 2)= 49, f_tid_x_f_tek_d_0_037, f_tid_x_f_tek_d_0_01)))</f>
        <v>0</v>
      </c>
      <c r="AC151" s="335">
        <f>IF(('Tillegg- Inndata Øvrige'!G149) = 0, 0,('Tillegg- Inndata Øvrige'!G149*((AG151+AI151)*Transport_utslipp_til_avfallshånderting_per_kg)+('Tillegg- Inndata Øvrige'!Z149*'ZERO-B Beregning'!D251)*IF('ZERO-B Beregning'!F252=0,'ZERO-B Beregning'!D252,'ZERO-B Beregning'!F252))*_xlfn.XLOOKUP(51, År_etter_ferdigstillelse, f_tid_x_f_tek_d_0_01))</f>
        <v>0</v>
      </c>
      <c r="AD151" s="337">
        <f>IF(('Tillegg- Inndata Øvrige'!G149) = 0, 0,1.833*('Tillegg- Inndata Øvrige'!G149*('Tillegg- Inndata Øvrige'!L149*0.5+'Tillegg- Inndata Øvrige'!M149*0.8)*AG151*_xlfn.XLOOKUP(51, År_etter_ferdigstillelse,  f_tid_x_f_tek_d_0_01)))</f>
        <v>0</v>
      </c>
      <c r="AE151" s="333" cm="1">
        <f t="array" ref="AE151">IF(('Tillegg- Inndata Øvrige'!G149) = 0, 0,-0.8*('Tillegg- Inndata Øvrige'!G149)*AH151*('Tillegg- Inndata Øvrige'!E149/'Tillegg- Inndata Øvrige'!G149)*_xlfn.XLOOKUP(51, År_etter_ferdigstillelse,  IF(LEFT('Tillegg- Inndata Øvrige'!B149, 2)= 49, f_tid_x_f_tek_d_0_037, f_tid_x_f_tek_d_0_01)))</f>
        <v>0</v>
      </c>
      <c r="AF151" s="338" cm="1">
        <f t="array" ref="AF151">IF(('Tillegg- Inndata Øvrige'!G149) = 0, 0,-0.1*('Tillegg- Inndata Øvrige'!G149)*AI151*('Tillegg- Inndata Øvrige'!E149/'Tillegg- Inndata Øvrige'!G149)*_xlfn.XLOOKUP(51, År_etter_ferdigstillelse,  IF(LEFT('Tillegg- Inndata Øvrige'!B149, 2)= 49, f_tid_x_f_tek_d_0_037, f_tid_x_f_tek_d_0_01)))</f>
        <v>0</v>
      </c>
      <c r="AG151" s="572">
        <f>IF(('Tillegg- Inndata Øvrige'!G149) = 0, 0,'Tillegg- Inndata Øvrige'!X149*Faktorer!$Z$58)</f>
        <v>0</v>
      </c>
      <c r="AH151" s="573">
        <f>IF(('Tillegg- Inndata Øvrige'!G149) = 0, 0,'Tillegg- Inndata Øvrige'!Z149+('Tillegg- Inndata Øvrige'!X149+'Tillegg- Inndata Øvrige'!Y149)*(1-Faktorer!$Z$58)*0.5)</f>
        <v>0</v>
      </c>
      <c r="AI151" s="574">
        <f>IF(('Tillegg- Inndata Øvrige'!G149) = 0, 0,'Tillegg- Inndata Øvrige'!AA149+('Tillegg- Inndata Øvrige'!X149+'Tillegg- Inndata Øvrige'!Y149)*(1-Faktorer!$Z$58)*0.5)</f>
        <v>0</v>
      </c>
      <c r="AK151" s="90">
        <f t="shared" si="3"/>
        <v>0</v>
      </c>
      <c r="AL151" s="91">
        <f>'Tillegg- Res. Det. Øvrige'!N151</f>
        <v>0</v>
      </c>
      <c r="AM151" s="91" t="str">
        <f>IF(F151=0,"",('Tillegg- Inndata Øvrige'!E151+'Tillegg- Inndata Øvrige'!F151)*ROUNDDOWN('Tillegg- Inndata Øvrige'!I151,0)*(1+'Tillegg- Inndata Øvrige'!K151))</f>
        <v/>
      </c>
      <c r="AO151" s="1"/>
    </row>
    <row r="152" spans="2:41">
      <c r="B152" s="327">
        <f>'Tillegg- Inndata Øvrige'!B150</f>
        <v>0</v>
      </c>
      <c r="C152" s="327">
        <f>'Tillegg- Inndata Øvrige'!C150</f>
        <v>0</v>
      </c>
      <c r="D152" s="327">
        <f>'Tillegg- Inndata Øvrige'!D150</f>
        <v>0</v>
      </c>
      <c r="E152" s="421" cm="1">
        <f t="array" ref="E152">SUM(IFERROR(F152:AF152,0))</f>
        <v>0</v>
      </c>
      <c r="F152" s="330">
        <f>'Tillegg- Inndata Øvrige'!E150</f>
        <v>0</v>
      </c>
      <c r="G152" s="330">
        <f>IF('Tillegg- Inndata Øvrige'!AB150="Ja", -0.8*$F152, 0)</f>
        <v>0</v>
      </c>
      <c r="H152" s="330">
        <f>IF('Tillegg- Inndata Øvrige'!AC150="Ja", -0.4*$F152, 0)</f>
        <v>0</v>
      </c>
      <c r="I152" s="330">
        <f>IF('Tillegg- Inndata Øvrige'!AD150="Ja", -1*$F152, 0)</f>
        <v>0</v>
      </c>
      <c r="J152" s="330">
        <f>'Tillegg- Inndata Øvrige'!O150*'Tillegg- Inndata Øvrige'!P150</f>
        <v>0</v>
      </c>
      <c r="K152" s="330">
        <f>MAX(-0.75*(SUM('Tillegg- Res. Det. Øvrige'!F152:J152)),-'Tillegg- Inndata Øvrige'!O150*'Tillegg- Inndata Øvrige'!Q150)</f>
        <v>0</v>
      </c>
      <c r="L152" s="330">
        <f>'Tillegg- Inndata Øvrige'!S150*'Tillegg- Inndata Øvrige'!T150</f>
        <v>0</v>
      </c>
      <c r="M152" s="330">
        <f>MAX(-0.75*(SUM('Tillegg- Res. Det. Øvrige'!F152:I152,L152)),-'Tillegg- Inndata Øvrige'!S150*'Tillegg- Inndata Øvrige'!U150)</f>
        <v>0</v>
      </c>
      <c r="N152" s="331">
        <f>'Tillegg- Inndata Øvrige'!F150</f>
        <v>0</v>
      </c>
      <c r="O152" s="330">
        <f>'Tillegg- Inndata Øvrige'!O150*'Tillegg- Inndata Øvrige'!R150</f>
        <v>0</v>
      </c>
      <c r="P152" s="332">
        <f>'Tillegg- Inndata Øvrige'!S150*'Tillegg- Inndata Øvrige'!V150</f>
        <v>0</v>
      </c>
      <c r="Q152" s="333">
        <f>SUM(F152:J152,L152)*'Tillegg- Inndata Øvrige'!K150</f>
        <v>0</v>
      </c>
      <c r="R152" s="333">
        <f>(K152+M152)*'Tillegg- Inndata Øvrige'!K150</f>
        <v>0</v>
      </c>
      <c r="S152" s="333">
        <f>SUM(N152:P152)*'Tillegg- Inndata Øvrige'!K150</f>
        <v>0</v>
      </c>
      <c r="T152" s="334">
        <f>('Tillegg- Inndata Øvrige'!G150+'Tillegg- Inndata Øvrige'!O150+'Tillegg- Inndata Øvrige'!S150)*'Tillegg- Inndata Øvrige'!K150*Transport_utslipp_til_avfallshånderting_per_kg</f>
        <v>0</v>
      </c>
      <c r="U152" s="330">
        <f>IF('Tillegg- Inndata Øvrige'!E150 = 0, 0, 1.833*'Tillegg- Inndata Øvrige'!X150*'Tillegg- Inndata Øvrige'!K150*('Tillegg- Inndata Øvrige'!G150*('Tillegg- Inndata Øvrige'!L150*0.5+'Tillegg- Inndata Øvrige'!M150*0.8) + (12/44)*('Tillegg- Inndata Øvrige'!O150*'Tillegg- Inndata Øvrige'!Q150+'Tillegg- Inndata Øvrige'!S150*'Tillegg- Inndata Øvrige'!U150)))</f>
        <v>0</v>
      </c>
      <c r="V152" s="335">
        <f>IF('Tillegg- Inndata Øvrige'!G150 = 0, 0,  MAX(-SUM(F152:J152,L152)*'Tillegg- Inndata Øvrige'!L150, -0.114*IF('Tillegg- Inndata Øvrige'!H150 &gt; 49, _xlfn.XLOOKUP(49, År_etter_ferdigstillelse, karbon_opptak_faktor), _xlfn.XLOOKUP('Tillegg- Inndata Øvrige'!H150, År_etter_ferdigstillelse, karbon_opptak_faktor))*'Tillegg- Inndata Øvrige'!G150*'Tillegg- Inndata Øvrige'!L150*0.5))</f>
        <v>0</v>
      </c>
      <c r="W152" s="333">
        <f>IF('Tillegg- Inndata Øvrige'!G150=0,0,IF('Tillegg- Inndata Øvrige'!H150&gt;49,-0.064*'Tillegg- Inndata Øvrige'!G150*'Tillegg- Inndata Øvrige'!N150,-0.037*'Tillegg- Inndata Øvrige'!J150*'Tillegg- Inndata Øvrige'!N150))</f>
        <v>0</v>
      </c>
      <c r="X152" s="331" cm="1">
        <f t="array" ref="X152">IF(SUM(F152:J152,L152)=0, 0, SUM(F152:J152,L152)*(1+'Tillegg-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Y152" s="330" cm="1">
        <f t="array" ref="Y152">IF(X152=0, 0, SUM(K152,M152)*(1+'Tillegg-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Z152" s="336" cm="1">
        <f t="array" ref="Z152">IF(X152=0, 0, SUM(N152:P152)*(1+'Tillegg-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A152" s="336" cm="1">
        <f t="array" ref="AA152">IF(X152=0, 0, ('Tillegg- Inndata Øvrige'!G150+'Tillegg- Inndata Øvrige'!O150+'Tillegg- Inndata Øvrige'!S150)*(1+'Tillegg- Inndata Øvrige'!K150)*Transport_utslipp_til_avfallshånderting_per_kg*IF('Tillegg-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B152" s="334" cm="1">
        <f t="array" ref="AB152">IF(X152=0, 0,1.833*'Tillegg- Inndata Øvrige'!J150*('Tillegg- Inndata Øvrige'!X150*_xlfn.XLOOKUP(IF('Tillegg- Inndata Øvrige'!I150&lt;2,'Tillegg- Inndata Øvrige'!H150,'Tillegg- Inndata Øvrige'!H150*2), År_etter_ferdigstillelse, Faktorer!$Z$7:$Z$58))*('Tillegg- Inndata Øvrige'!L150*0.5+'Tillegg- Inndata Øvrige'!M150*0.8)*_xlfn.XLOOKUP(IF('Tillegg- Inndata Øvrige'!I150&lt;2,'Tillegg- Inndata Øvrige'!H150,'Tillegg- Inndata Øvrige'!H150*2), År_etter_ferdigstillelse,  IF(LEFT('Tillegg- Inndata Øvrige'!B150, 2)= 49, f_tid_x_f_tek_d_0_037, f_tid_x_f_tek_d_0_01)))</f>
        <v>0</v>
      </c>
      <c r="AC152" s="335">
        <f>IF(('Tillegg- Inndata Øvrige'!G150) = 0, 0,('Tillegg- Inndata Øvrige'!G150*((AG152+AI152)*Transport_utslipp_til_avfallshånderting_per_kg)+('Tillegg- Inndata Øvrige'!Z150*'ZERO-B Beregning'!D252)*IF('ZERO-B Beregning'!F253=0,'ZERO-B Beregning'!D253,'ZERO-B Beregning'!F253))*_xlfn.XLOOKUP(51, År_etter_ferdigstillelse, f_tid_x_f_tek_d_0_01))</f>
        <v>0</v>
      </c>
      <c r="AD152" s="337">
        <f>IF(('Tillegg- Inndata Øvrige'!G150) = 0, 0,1.833*('Tillegg- Inndata Øvrige'!G150*('Tillegg- Inndata Øvrige'!L150*0.5+'Tillegg- Inndata Øvrige'!M150*0.8)*AG152*_xlfn.XLOOKUP(51, År_etter_ferdigstillelse,  f_tid_x_f_tek_d_0_01)))</f>
        <v>0</v>
      </c>
      <c r="AE152" s="333" cm="1">
        <f t="array" ref="AE152">IF(('Tillegg- Inndata Øvrige'!G150) = 0, 0,-0.8*('Tillegg- Inndata Øvrige'!G150)*AH152*('Tillegg- Inndata Øvrige'!E150/'Tillegg- Inndata Øvrige'!G150)*_xlfn.XLOOKUP(51, År_etter_ferdigstillelse,  IF(LEFT('Tillegg- Inndata Øvrige'!B150, 2)= 49, f_tid_x_f_tek_d_0_037, f_tid_x_f_tek_d_0_01)))</f>
        <v>0</v>
      </c>
      <c r="AF152" s="338" cm="1">
        <f t="array" ref="AF152">IF(('Tillegg- Inndata Øvrige'!G150) = 0, 0,-0.1*('Tillegg- Inndata Øvrige'!G150)*AI152*('Tillegg- Inndata Øvrige'!E150/'Tillegg- Inndata Øvrige'!G150)*_xlfn.XLOOKUP(51, År_etter_ferdigstillelse,  IF(LEFT('Tillegg- Inndata Øvrige'!B150, 2)= 49, f_tid_x_f_tek_d_0_037, f_tid_x_f_tek_d_0_01)))</f>
        <v>0</v>
      </c>
      <c r="AG152" s="572">
        <f>IF(('Tillegg- Inndata Øvrige'!G150) = 0, 0,'Tillegg- Inndata Øvrige'!X150*Faktorer!$Z$58)</f>
        <v>0</v>
      </c>
      <c r="AH152" s="573">
        <f>IF(('Tillegg- Inndata Øvrige'!G150) = 0, 0,'Tillegg- Inndata Øvrige'!Z150+('Tillegg- Inndata Øvrige'!X150+'Tillegg- Inndata Øvrige'!Y150)*(1-Faktorer!$Z$58)*0.5)</f>
        <v>0</v>
      </c>
      <c r="AI152" s="574">
        <f>IF(('Tillegg- Inndata Øvrige'!G150) = 0, 0,'Tillegg- Inndata Øvrige'!AA150+('Tillegg- Inndata Øvrige'!X150+'Tillegg- Inndata Øvrige'!Y150)*(1-Faktorer!$Z$58)*0.5)</f>
        <v>0</v>
      </c>
      <c r="AK152" s="90">
        <f t="shared" si="3"/>
        <v>0</v>
      </c>
      <c r="AL152" s="91">
        <f>'Tillegg- Res. Det. Øvrige'!N152</f>
        <v>0</v>
      </c>
      <c r="AM152" s="91" t="str">
        <f>IF(F152=0,"",('Tillegg- Inndata Øvrige'!E152+'Tillegg- Inndata Øvrige'!F152)*ROUNDDOWN('Tillegg- Inndata Øvrige'!I152,0)*(1+'Tillegg- Inndata Øvrige'!K152))</f>
        <v/>
      </c>
      <c r="AO152" s="1"/>
    </row>
    <row r="153" spans="2:41">
      <c r="B153" s="327">
        <f>'Tillegg- Inndata Øvrige'!B151</f>
        <v>0</v>
      </c>
      <c r="C153" s="327">
        <f>'Tillegg- Inndata Øvrige'!C151</f>
        <v>0</v>
      </c>
      <c r="D153" s="327">
        <f>'Tillegg- Inndata Øvrige'!D151</f>
        <v>0</v>
      </c>
      <c r="E153" s="421" cm="1">
        <f t="array" ref="E153">SUM(IFERROR(F153:AF153,0))</f>
        <v>0</v>
      </c>
      <c r="F153" s="330">
        <f>'Tillegg- Inndata Øvrige'!E151</f>
        <v>0</v>
      </c>
      <c r="G153" s="330">
        <f>IF('Tillegg- Inndata Øvrige'!AB151="Ja", -0.8*$F153, 0)</f>
        <v>0</v>
      </c>
      <c r="H153" s="330">
        <f>IF('Tillegg- Inndata Øvrige'!AC151="Ja", -0.4*$F153, 0)</f>
        <v>0</v>
      </c>
      <c r="I153" s="330">
        <f>IF('Tillegg- Inndata Øvrige'!AD151="Ja", -1*$F153, 0)</f>
        <v>0</v>
      </c>
      <c r="J153" s="330">
        <f>'Tillegg- Inndata Øvrige'!O151*'Tillegg- Inndata Øvrige'!P151</f>
        <v>0</v>
      </c>
      <c r="K153" s="330">
        <f>MAX(-0.75*(SUM('Tillegg- Res. Det. Øvrige'!F153:J153)),-'Tillegg- Inndata Øvrige'!O151*'Tillegg- Inndata Øvrige'!Q151)</f>
        <v>0</v>
      </c>
      <c r="L153" s="330">
        <f>'Tillegg- Inndata Øvrige'!S151*'Tillegg- Inndata Øvrige'!T151</f>
        <v>0</v>
      </c>
      <c r="M153" s="330">
        <f>MAX(-0.75*(SUM('Tillegg- Res. Det. Øvrige'!F153:I153,L153)),-'Tillegg- Inndata Øvrige'!S151*'Tillegg- Inndata Øvrige'!U151)</f>
        <v>0</v>
      </c>
      <c r="N153" s="331">
        <f>'Tillegg- Inndata Øvrige'!F151</f>
        <v>0</v>
      </c>
      <c r="O153" s="330">
        <f>'Tillegg- Inndata Øvrige'!O151*'Tillegg- Inndata Øvrige'!R151</f>
        <v>0</v>
      </c>
      <c r="P153" s="332">
        <f>'Tillegg- Inndata Øvrige'!S151*'Tillegg- Inndata Øvrige'!V151</f>
        <v>0</v>
      </c>
      <c r="Q153" s="333">
        <f>SUM(F153:J153,L153)*'Tillegg- Inndata Øvrige'!K151</f>
        <v>0</v>
      </c>
      <c r="R153" s="333">
        <f>(K153+M153)*'Tillegg- Inndata Øvrige'!K151</f>
        <v>0</v>
      </c>
      <c r="S153" s="333">
        <f>SUM(N153:P153)*'Tillegg- Inndata Øvrige'!K151</f>
        <v>0</v>
      </c>
      <c r="T153" s="334">
        <f>('Tillegg- Inndata Øvrige'!G151+'Tillegg- Inndata Øvrige'!O151+'Tillegg- Inndata Øvrige'!S151)*'Tillegg- Inndata Øvrige'!K151*Transport_utslipp_til_avfallshånderting_per_kg</f>
        <v>0</v>
      </c>
      <c r="U153" s="330">
        <f>IF('Tillegg- Inndata Øvrige'!E151 = 0, 0, 1.833*'Tillegg- Inndata Øvrige'!X151*'Tillegg- Inndata Øvrige'!K151*('Tillegg- Inndata Øvrige'!G151*('Tillegg- Inndata Øvrige'!L151*0.5+'Tillegg- Inndata Øvrige'!M151*0.8) + (12/44)*('Tillegg- Inndata Øvrige'!O151*'Tillegg- Inndata Øvrige'!Q151+'Tillegg- Inndata Øvrige'!S151*'Tillegg- Inndata Øvrige'!U151)))</f>
        <v>0</v>
      </c>
      <c r="V153" s="335">
        <f>IF('Tillegg- Inndata Øvrige'!G151 = 0, 0,  MAX(-SUM(F153:J153,L153)*'Tillegg- Inndata Øvrige'!L151, -0.114*IF('Tillegg- Inndata Øvrige'!H151 &gt; 49, _xlfn.XLOOKUP(49, År_etter_ferdigstillelse, karbon_opptak_faktor), _xlfn.XLOOKUP('Tillegg- Inndata Øvrige'!H151, År_etter_ferdigstillelse, karbon_opptak_faktor))*'Tillegg- Inndata Øvrige'!G151*'Tillegg- Inndata Øvrige'!L151*0.5))</f>
        <v>0</v>
      </c>
      <c r="W153" s="333">
        <f>IF('Tillegg- Inndata Øvrige'!G151=0,0,IF('Tillegg- Inndata Øvrige'!H151&gt;49,-0.064*'Tillegg- Inndata Øvrige'!G151*'Tillegg- Inndata Øvrige'!N151,-0.037*'Tillegg- Inndata Øvrige'!J151*'Tillegg- Inndata Øvrige'!N151))</f>
        <v>0</v>
      </c>
      <c r="X153" s="331" cm="1">
        <f t="array" ref="X153">IF(SUM(F153:J153,L153)=0, 0, SUM(F153:J153,L153)*(1+'Tillegg-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Y153" s="330" cm="1">
        <f t="array" ref="Y153">IF(X153=0, 0, SUM(K153,M153)*(1+'Tillegg-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Z153" s="336" cm="1">
        <f t="array" ref="Z153">IF(X153=0, 0, SUM(N153:P153)*(1+'Tillegg-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A153" s="336" cm="1">
        <f t="array" ref="AA153">IF(X153=0, 0, ('Tillegg- Inndata Øvrige'!G151+'Tillegg- Inndata Øvrige'!O151+'Tillegg- Inndata Øvrige'!S151)*(1+'Tillegg- Inndata Øvrige'!K151)*Transport_utslipp_til_avfallshånderting_per_kg*IF('Tillegg-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B153" s="334" cm="1">
        <f t="array" ref="AB153">IF(X153=0, 0,1.833*'Tillegg- Inndata Øvrige'!J151*('Tillegg- Inndata Øvrige'!X151*_xlfn.XLOOKUP(IF('Tillegg- Inndata Øvrige'!I151&lt;2,'Tillegg- Inndata Øvrige'!H151,'Tillegg- Inndata Øvrige'!H151*2), År_etter_ferdigstillelse, Faktorer!$Z$7:$Z$58))*('Tillegg- Inndata Øvrige'!L151*0.5+'Tillegg- Inndata Øvrige'!M151*0.8)*_xlfn.XLOOKUP(IF('Tillegg- Inndata Øvrige'!I151&lt;2,'Tillegg- Inndata Øvrige'!H151,'Tillegg- Inndata Øvrige'!H151*2), År_etter_ferdigstillelse,  IF(LEFT('Tillegg- Inndata Øvrige'!B151, 2)= 49, f_tid_x_f_tek_d_0_037, f_tid_x_f_tek_d_0_01)))</f>
        <v>0</v>
      </c>
      <c r="AC153" s="335">
        <f>IF(('Tillegg- Inndata Øvrige'!G151) = 0, 0,('Tillegg- Inndata Øvrige'!G151*((AG153+AI153)*Transport_utslipp_til_avfallshånderting_per_kg)+('Tillegg- Inndata Øvrige'!Z151*'ZERO-B Beregning'!D253)*IF('ZERO-B Beregning'!F254=0,'ZERO-B Beregning'!D254,'ZERO-B Beregning'!F254))*_xlfn.XLOOKUP(51, År_etter_ferdigstillelse, f_tid_x_f_tek_d_0_01))</f>
        <v>0</v>
      </c>
      <c r="AD153" s="337">
        <f>IF(('Tillegg- Inndata Øvrige'!G151) = 0, 0,1.833*('Tillegg- Inndata Øvrige'!G151*('Tillegg- Inndata Øvrige'!L151*0.5+'Tillegg- Inndata Øvrige'!M151*0.8)*AG153*_xlfn.XLOOKUP(51, År_etter_ferdigstillelse,  f_tid_x_f_tek_d_0_01)))</f>
        <v>0</v>
      </c>
      <c r="AE153" s="333" cm="1">
        <f t="array" ref="AE153">IF(('Tillegg- Inndata Øvrige'!G151) = 0, 0,-0.8*('Tillegg- Inndata Øvrige'!G151)*AH153*('Tillegg- Inndata Øvrige'!E151/'Tillegg- Inndata Øvrige'!G151)*_xlfn.XLOOKUP(51, År_etter_ferdigstillelse,  IF(LEFT('Tillegg- Inndata Øvrige'!B151, 2)= 49, f_tid_x_f_tek_d_0_037, f_tid_x_f_tek_d_0_01)))</f>
        <v>0</v>
      </c>
      <c r="AF153" s="338" cm="1">
        <f t="array" ref="AF153">IF(('Tillegg- Inndata Øvrige'!G151) = 0, 0,-0.1*('Tillegg- Inndata Øvrige'!G151)*AI153*('Tillegg- Inndata Øvrige'!E151/'Tillegg- Inndata Øvrige'!G151)*_xlfn.XLOOKUP(51, År_etter_ferdigstillelse,  IF(LEFT('Tillegg- Inndata Øvrige'!B151, 2)= 49, f_tid_x_f_tek_d_0_037, f_tid_x_f_tek_d_0_01)))</f>
        <v>0</v>
      </c>
      <c r="AG153" s="572">
        <f>IF(('Tillegg- Inndata Øvrige'!G151) = 0, 0,'Tillegg- Inndata Øvrige'!X151*Faktorer!$Z$58)</f>
        <v>0</v>
      </c>
      <c r="AH153" s="573">
        <f>IF(('Tillegg- Inndata Øvrige'!G151) = 0, 0,'Tillegg- Inndata Øvrige'!Z151+('Tillegg- Inndata Øvrige'!X151+'Tillegg- Inndata Øvrige'!Y151)*(1-Faktorer!$Z$58)*0.5)</f>
        <v>0</v>
      </c>
      <c r="AI153" s="574">
        <f>IF(('Tillegg- Inndata Øvrige'!G151) = 0, 0,'Tillegg- Inndata Øvrige'!AA151+('Tillegg- Inndata Øvrige'!X151+'Tillegg- Inndata Øvrige'!Y151)*(1-Faktorer!$Z$58)*0.5)</f>
        <v>0</v>
      </c>
      <c r="AK153" s="90">
        <f t="shared" si="3"/>
        <v>0</v>
      </c>
      <c r="AL153" s="91">
        <f>'Tillegg- Res. Det. Øvrige'!N153</f>
        <v>0</v>
      </c>
      <c r="AM153" s="91" t="str">
        <f>IF(F153=0,"",('Tillegg- Inndata Øvrige'!E153+'Tillegg- Inndata Øvrige'!F153)*ROUNDDOWN('Tillegg- Inndata Øvrige'!I153,0)*(1+'Tillegg- Inndata Øvrige'!K153))</f>
        <v/>
      </c>
      <c r="AO153" s="1"/>
    </row>
    <row r="154" spans="2:41">
      <c r="B154" s="327">
        <f>'Tillegg- Inndata Øvrige'!B152</f>
        <v>0</v>
      </c>
      <c r="C154" s="327">
        <f>'Tillegg- Inndata Øvrige'!C152</f>
        <v>0</v>
      </c>
      <c r="D154" s="327">
        <f>'Tillegg- Inndata Øvrige'!D152</f>
        <v>0</v>
      </c>
      <c r="E154" s="421" cm="1">
        <f t="array" ref="E154">SUM(IFERROR(F154:AF154,0))</f>
        <v>0</v>
      </c>
      <c r="F154" s="330">
        <f>'Tillegg- Inndata Øvrige'!E152</f>
        <v>0</v>
      </c>
      <c r="G154" s="330">
        <f>IF('Tillegg- Inndata Øvrige'!AB152="Ja", -0.8*$F154, 0)</f>
        <v>0</v>
      </c>
      <c r="H154" s="330">
        <f>IF('Tillegg- Inndata Øvrige'!AC152="Ja", -0.4*$F154, 0)</f>
        <v>0</v>
      </c>
      <c r="I154" s="330">
        <f>IF('Tillegg- Inndata Øvrige'!AD152="Ja", -1*$F154, 0)</f>
        <v>0</v>
      </c>
      <c r="J154" s="330">
        <f>'Tillegg- Inndata Øvrige'!O152*'Tillegg- Inndata Øvrige'!P152</f>
        <v>0</v>
      </c>
      <c r="K154" s="330">
        <f>MAX(-0.75*(SUM('Tillegg- Res. Det. Øvrige'!F154:J154)),-'Tillegg- Inndata Øvrige'!O152*'Tillegg- Inndata Øvrige'!Q152)</f>
        <v>0</v>
      </c>
      <c r="L154" s="330">
        <f>'Tillegg- Inndata Øvrige'!S152*'Tillegg- Inndata Øvrige'!T152</f>
        <v>0</v>
      </c>
      <c r="M154" s="330">
        <f>MAX(-0.75*(SUM('Tillegg- Res. Det. Øvrige'!F154:I154,L154)),-'Tillegg- Inndata Øvrige'!S152*'Tillegg- Inndata Øvrige'!U152)</f>
        <v>0</v>
      </c>
      <c r="N154" s="331">
        <f>'Tillegg- Inndata Øvrige'!F152</f>
        <v>0</v>
      </c>
      <c r="O154" s="330">
        <f>'Tillegg- Inndata Øvrige'!O152*'Tillegg- Inndata Øvrige'!R152</f>
        <v>0</v>
      </c>
      <c r="P154" s="332">
        <f>'Tillegg- Inndata Øvrige'!S152*'Tillegg- Inndata Øvrige'!V152</f>
        <v>0</v>
      </c>
      <c r="Q154" s="333">
        <f>SUM(F154:J154,L154)*'Tillegg- Inndata Øvrige'!K152</f>
        <v>0</v>
      </c>
      <c r="R154" s="333">
        <f>(K154+M154)*'Tillegg- Inndata Øvrige'!K152</f>
        <v>0</v>
      </c>
      <c r="S154" s="333">
        <f>SUM(N154:P154)*'Tillegg- Inndata Øvrige'!K152</f>
        <v>0</v>
      </c>
      <c r="T154" s="334">
        <f>('Tillegg- Inndata Øvrige'!G152+'Tillegg- Inndata Øvrige'!O152+'Tillegg- Inndata Øvrige'!S152)*'Tillegg- Inndata Øvrige'!K152*Transport_utslipp_til_avfallshånderting_per_kg</f>
        <v>0</v>
      </c>
      <c r="U154" s="330">
        <f>IF('Tillegg- Inndata Øvrige'!E152 = 0, 0, 1.833*'Tillegg- Inndata Øvrige'!X152*'Tillegg- Inndata Øvrige'!K152*('Tillegg- Inndata Øvrige'!G152*('Tillegg- Inndata Øvrige'!L152*0.5+'Tillegg- Inndata Øvrige'!M152*0.8) + (12/44)*('Tillegg- Inndata Øvrige'!O152*'Tillegg- Inndata Øvrige'!Q152+'Tillegg- Inndata Øvrige'!S152*'Tillegg- Inndata Øvrige'!U152)))</f>
        <v>0</v>
      </c>
      <c r="V154" s="335">
        <f>IF('Tillegg- Inndata Øvrige'!G152 = 0, 0,  MAX(-SUM(F154:J154,L154)*'Tillegg- Inndata Øvrige'!L152, -0.114*IF('Tillegg- Inndata Øvrige'!H152 &gt; 49, _xlfn.XLOOKUP(49, År_etter_ferdigstillelse, karbon_opptak_faktor), _xlfn.XLOOKUP('Tillegg- Inndata Øvrige'!H152, År_etter_ferdigstillelse, karbon_opptak_faktor))*'Tillegg- Inndata Øvrige'!G152*'Tillegg- Inndata Øvrige'!L152*0.5))</f>
        <v>0</v>
      </c>
      <c r="W154" s="333">
        <f>IF('Tillegg- Inndata Øvrige'!G152=0,0,IF('Tillegg- Inndata Øvrige'!H152&gt;49,-0.064*'Tillegg- Inndata Øvrige'!G152*'Tillegg- Inndata Øvrige'!N152,-0.037*'Tillegg- Inndata Øvrige'!J152*'Tillegg- Inndata Øvrige'!N152))</f>
        <v>0</v>
      </c>
      <c r="X154" s="331" cm="1">
        <f t="array" ref="X154">IF(SUM(F154:J154,L154)=0, 0, SUM(F154:J154,L154)*(1+'Tillegg-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Y154" s="330" cm="1">
        <f t="array" ref="Y154">IF(X154=0, 0, SUM(K154,M154)*(1+'Tillegg-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Z154" s="336" cm="1">
        <f t="array" ref="Z154">IF(X154=0, 0, SUM(N154:P154)*(1+'Tillegg-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A154" s="336" cm="1">
        <f t="array" ref="AA154">IF(X154=0, 0, ('Tillegg- Inndata Øvrige'!G152+'Tillegg- Inndata Øvrige'!O152+'Tillegg- Inndata Øvrige'!S152)*(1+'Tillegg- Inndata Øvrige'!K152)*Transport_utslipp_til_avfallshånderting_per_kg*IF('Tillegg-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B154" s="334" cm="1">
        <f t="array" ref="AB154">IF(X154=0, 0,1.833*'Tillegg- Inndata Øvrige'!J152*('Tillegg- Inndata Øvrige'!X152*_xlfn.XLOOKUP(IF('Tillegg- Inndata Øvrige'!I152&lt;2,'Tillegg- Inndata Øvrige'!H152,'Tillegg- Inndata Øvrige'!H152*2), År_etter_ferdigstillelse, Faktorer!$Z$7:$Z$58))*('Tillegg- Inndata Øvrige'!L152*0.5+'Tillegg- Inndata Øvrige'!M152*0.8)*_xlfn.XLOOKUP(IF('Tillegg- Inndata Øvrige'!I152&lt;2,'Tillegg- Inndata Øvrige'!H152,'Tillegg- Inndata Øvrige'!H152*2), År_etter_ferdigstillelse,  IF(LEFT('Tillegg- Inndata Øvrige'!B152, 2)= 49, f_tid_x_f_tek_d_0_037, f_tid_x_f_tek_d_0_01)))</f>
        <v>0</v>
      </c>
      <c r="AC154" s="335">
        <f>IF(('Tillegg- Inndata Øvrige'!G152) = 0, 0,('Tillegg- Inndata Øvrige'!G152*((AG154+AI154)*Transport_utslipp_til_avfallshånderting_per_kg)+('Tillegg- Inndata Øvrige'!Z152*'ZERO-B Beregning'!D254)*IF('ZERO-B Beregning'!F255=0,'ZERO-B Beregning'!D255,'ZERO-B Beregning'!F255))*_xlfn.XLOOKUP(51, År_etter_ferdigstillelse, f_tid_x_f_tek_d_0_01))</f>
        <v>0</v>
      </c>
      <c r="AD154" s="337">
        <f>IF(('Tillegg- Inndata Øvrige'!G152) = 0, 0,1.833*('Tillegg- Inndata Øvrige'!G152*('Tillegg- Inndata Øvrige'!L152*0.5+'Tillegg- Inndata Øvrige'!M152*0.8)*AG154*_xlfn.XLOOKUP(51, År_etter_ferdigstillelse,  f_tid_x_f_tek_d_0_01)))</f>
        <v>0</v>
      </c>
      <c r="AE154" s="333" cm="1">
        <f t="array" ref="AE154">IF(('Tillegg- Inndata Øvrige'!G152) = 0, 0,-0.8*('Tillegg- Inndata Øvrige'!G152)*AH154*('Tillegg- Inndata Øvrige'!E152/'Tillegg- Inndata Øvrige'!G152)*_xlfn.XLOOKUP(51, År_etter_ferdigstillelse,  IF(LEFT('Tillegg- Inndata Øvrige'!B152, 2)= 49, f_tid_x_f_tek_d_0_037, f_tid_x_f_tek_d_0_01)))</f>
        <v>0</v>
      </c>
      <c r="AF154" s="338" cm="1">
        <f t="array" ref="AF154">IF(('Tillegg- Inndata Øvrige'!G152) = 0, 0,-0.1*('Tillegg- Inndata Øvrige'!G152)*AI154*('Tillegg- Inndata Øvrige'!E152/'Tillegg- Inndata Øvrige'!G152)*_xlfn.XLOOKUP(51, År_etter_ferdigstillelse,  IF(LEFT('Tillegg- Inndata Øvrige'!B152, 2)= 49, f_tid_x_f_tek_d_0_037, f_tid_x_f_tek_d_0_01)))</f>
        <v>0</v>
      </c>
      <c r="AG154" s="572">
        <f>IF(('Tillegg- Inndata Øvrige'!G152) = 0, 0,'Tillegg- Inndata Øvrige'!X152*Faktorer!$Z$58)</f>
        <v>0</v>
      </c>
      <c r="AH154" s="573">
        <f>IF(('Tillegg- Inndata Øvrige'!G152) = 0, 0,'Tillegg- Inndata Øvrige'!Z152+('Tillegg- Inndata Øvrige'!X152+'Tillegg- Inndata Øvrige'!Y152)*(1-Faktorer!$Z$58)*0.5)</f>
        <v>0</v>
      </c>
      <c r="AI154" s="574">
        <f>IF(('Tillegg- Inndata Øvrige'!G152) = 0, 0,'Tillegg- Inndata Øvrige'!AA152+('Tillegg- Inndata Øvrige'!X152+'Tillegg- Inndata Øvrige'!Y152)*(1-Faktorer!$Z$58)*0.5)</f>
        <v>0</v>
      </c>
      <c r="AK154" s="90">
        <f t="shared" si="3"/>
        <v>0</v>
      </c>
      <c r="AL154" s="91">
        <f>'Tillegg- Res. Det. Øvrige'!N154</f>
        <v>0</v>
      </c>
      <c r="AM154" s="91" t="str">
        <f>IF(F154=0,"",('Tillegg- Inndata Øvrige'!E154+'Tillegg- Inndata Øvrige'!F154)*ROUNDDOWN('Tillegg- Inndata Øvrige'!I154,0)*(1+'Tillegg- Inndata Øvrige'!K154))</f>
        <v/>
      </c>
      <c r="AO154" s="1"/>
    </row>
    <row r="155" spans="2:41">
      <c r="B155" s="327">
        <f>'Tillegg- Inndata Øvrige'!B153</f>
        <v>0</v>
      </c>
      <c r="C155" s="327">
        <f>'Tillegg- Inndata Øvrige'!C153</f>
        <v>0</v>
      </c>
      <c r="D155" s="327">
        <f>'Tillegg- Inndata Øvrige'!D153</f>
        <v>0</v>
      </c>
      <c r="E155" s="421" cm="1">
        <f t="array" ref="E155">SUM(IFERROR(F155:AF155,0))</f>
        <v>0</v>
      </c>
      <c r="F155" s="330">
        <f>'Tillegg- Inndata Øvrige'!E153</f>
        <v>0</v>
      </c>
      <c r="G155" s="330">
        <f>IF('Tillegg- Inndata Øvrige'!AB153="Ja", -0.8*$F155, 0)</f>
        <v>0</v>
      </c>
      <c r="H155" s="330">
        <f>IF('Tillegg- Inndata Øvrige'!AC153="Ja", -0.4*$F155, 0)</f>
        <v>0</v>
      </c>
      <c r="I155" s="330">
        <f>IF('Tillegg- Inndata Øvrige'!AD153="Ja", -1*$F155, 0)</f>
        <v>0</v>
      </c>
      <c r="J155" s="330">
        <f>'Tillegg- Inndata Øvrige'!O153*'Tillegg- Inndata Øvrige'!P153</f>
        <v>0</v>
      </c>
      <c r="K155" s="330">
        <f>MAX(-0.75*(SUM('Tillegg- Res. Det. Øvrige'!F155:J155)),-'Tillegg- Inndata Øvrige'!O153*'Tillegg- Inndata Øvrige'!Q153)</f>
        <v>0</v>
      </c>
      <c r="L155" s="330">
        <f>'Tillegg- Inndata Øvrige'!S153*'Tillegg- Inndata Øvrige'!T153</f>
        <v>0</v>
      </c>
      <c r="M155" s="330">
        <f>MAX(-0.75*(SUM('Tillegg- Res. Det. Øvrige'!F155:I155,L155)),-'Tillegg- Inndata Øvrige'!S153*'Tillegg- Inndata Øvrige'!U153)</f>
        <v>0</v>
      </c>
      <c r="N155" s="331">
        <f>'Tillegg- Inndata Øvrige'!F153</f>
        <v>0</v>
      </c>
      <c r="O155" s="330">
        <f>'Tillegg- Inndata Øvrige'!O153*'Tillegg- Inndata Øvrige'!R153</f>
        <v>0</v>
      </c>
      <c r="P155" s="332">
        <f>'Tillegg- Inndata Øvrige'!S153*'Tillegg- Inndata Øvrige'!V153</f>
        <v>0</v>
      </c>
      <c r="Q155" s="333">
        <f>SUM(F155:J155,L155)*'Tillegg- Inndata Øvrige'!K153</f>
        <v>0</v>
      </c>
      <c r="R155" s="333">
        <f>(K155+M155)*'Tillegg- Inndata Øvrige'!K153</f>
        <v>0</v>
      </c>
      <c r="S155" s="333">
        <f>SUM(N155:P155)*'Tillegg- Inndata Øvrige'!K153</f>
        <v>0</v>
      </c>
      <c r="T155" s="334">
        <f>('Tillegg- Inndata Øvrige'!G153+'Tillegg- Inndata Øvrige'!O153+'Tillegg- Inndata Øvrige'!S153)*'Tillegg- Inndata Øvrige'!K153*Transport_utslipp_til_avfallshånderting_per_kg</f>
        <v>0</v>
      </c>
      <c r="U155" s="330">
        <f>IF('Tillegg- Inndata Øvrige'!E153 = 0, 0, 1.833*'Tillegg- Inndata Øvrige'!X153*'Tillegg- Inndata Øvrige'!K153*('Tillegg- Inndata Øvrige'!G153*('Tillegg- Inndata Øvrige'!L153*0.5+'Tillegg- Inndata Øvrige'!M153*0.8) + (12/44)*('Tillegg- Inndata Øvrige'!O153*'Tillegg- Inndata Øvrige'!Q153+'Tillegg- Inndata Øvrige'!S153*'Tillegg- Inndata Øvrige'!U153)))</f>
        <v>0</v>
      </c>
      <c r="V155" s="335">
        <f>IF('Tillegg- Inndata Øvrige'!G153 = 0, 0,  MAX(-SUM(F155:J155,L155)*'Tillegg- Inndata Øvrige'!L153, -0.114*IF('Tillegg- Inndata Øvrige'!H153 &gt; 49, _xlfn.XLOOKUP(49, År_etter_ferdigstillelse, karbon_opptak_faktor), _xlfn.XLOOKUP('Tillegg- Inndata Øvrige'!H153, År_etter_ferdigstillelse, karbon_opptak_faktor))*'Tillegg- Inndata Øvrige'!G153*'Tillegg- Inndata Øvrige'!L153*0.5))</f>
        <v>0</v>
      </c>
      <c r="W155" s="333">
        <f>IF('Tillegg- Inndata Øvrige'!G153=0,0,IF('Tillegg- Inndata Øvrige'!H153&gt;49,-0.064*'Tillegg- Inndata Øvrige'!G153*'Tillegg- Inndata Øvrige'!N153,-0.037*'Tillegg- Inndata Øvrige'!J153*'Tillegg- Inndata Øvrige'!N153))</f>
        <v>0</v>
      </c>
      <c r="X155" s="331" cm="1">
        <f t="array" ref="X155">IF(SUM(F155:J155,L155)=0, 0, SUM(F155:J155,L155)*(1+'Tillegg-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Y155" s="330" cm="1">
        <f t="array" ref="Y155">IF(X155=0, 0, SUM(K155,M155)*(1+'Tillegg-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Z155" s="336" cm="1">
        <f t="array" ref="Z155">IF(X155=0, 0, SUM(N155:P155)*(1+'Tillegg-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A155" s="336" cm="1">
        <f t="array" ref="AA155">IF(X155=0, 0, ('Tillegg- Inndata Øvrige'!G153+'Tillegg- Inndata Øvrige'!O153+'Tillegg- Inndata Øvrige'!S153)*(1+'Tillegg- Inndata Øvrige'!K153)*Transport_utslipp_til_avfallshånderting_per_kg*IF('Tillegg-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B155" s="334" cm="1">
        <f t="array" ref="AB155">IF(X155=0, 0,1.833*'Tillegg- Inndata Øvrige'!J153*('Tillegg- Inndata Øvrige'!X153*_xlfn.XLOOKUP(IF('Tillegg- Inndata Øvrige'!I153&lt;2,'Tillegg- Inndata Øvrige'!H153,'Tillegg- Inndata Øvrige'!H153*2), År_etter_ferdigstillelse, Faktorer!$Z$7:$Z$58))*('Tillegg- Inndata Øvrige'!L153*0.5+'Tillegg- Inndata Øvrige'!M153*0.8)*_xlfn.XLOOKUP(IF('Tillegg- Inndata Øvrige'!I153&lt;2,'Tillegg- Inndata Øvrige'!H153,'Tillegg- Inndata Øvrige'!H153*2), År_etter_ferdigstillelse,  IF(LEFT('Tillegg- Inndata Øvrige'!B153, 2)= 49, f_tid_x_f_tek_d_0_037, f_tid_x_f_tek_d_0_01)))</f>
        <v>0</v>
      </c>
      <c r="AC155" s="335">
        <f>IF(('Tillegg- Inndata Øvrige'!G153) = 0, 0,('Tillegg- Inndata Øvrige'!G153*((AG155+AI155)*Transport_utslipp_til_avfallshånderting_per_kg)+('Tillegg- Inndata Øvrige'!Z153*'ZERO-B Beregning'!D255)*IF('ZERO-B Beregning'!F256=0,'ZERO-B Beregning'!D256,'ZERO-B Beregning'!F256))*_xlfn.XLOOKUP(51, År_etter_ferdigstillelse, f_tid_x_f_tek_d_0_01))</f>
        <v>0</v>
      </c>
      <c r="AD155" s="337">
        <f>IF(('Tillegg- Inndata Øvrige'!G153) = 0, 0,1.833*('Tillegg- Inndata Øvrige'!G153*('Tillegg- Inndata Øvrige'!L153*0.5+'Tillegg- Inndata Øvrige'!M153*0.8)*AG155*_xlfn.XLOOKUP(51, År_etter_ferdigstillelse,  f_tid_x_f_tek_d_0_01)))</f>
        <v>0</v>
      </c>
      <c r="AE155" s="333" cm="1">
        <f t="array" ref="AE155">IF(('Tillegg- Inndata Øvrige'!G153) = 0, 0,-0.8*('Tillegg- Inndata Øvrige'!G153)*AH155*('Tillegg- Inndata Øvrige'!E153/'Tillegg- Inndata Øvrige'!G153)*_xlfn.XLOOKUP(51, År_etter_ferdigstillelse,  IF(LEFT('Tillegg- Inndata Øvrige'!B153, 2)= 49, f_tid_x_f_tek_d_0_037, f_tid_x_f_tek_d_0_01)))</f>
        <v>0</v>
      </c>
      <c r="AF155" s="338" cm="1">
        <f t="array" ref="AF155">IF(('Tillegg- Inndata Øvrige'!G153) = 0, 0,-0.1*('Tillegg- Inndata Øvrige'!G153)*AI155*('Tillegg- Inndata Øvrige'!E153/'Tillegg- Inndata Øvrige'!G153)*_xlfn.XLOOKUP(51, År_etter_ferdigstillelse,  IF(LEFT('Tillegg- Inndata Øvrige'!B153, 2)= 49, f_tid_x_f_tek_d_0_037, f_tid_x_f_tek_d_0_01)))</f>
        <v>0</v>
      </c>
      <c r="AG155" s="572">
        <f>IF(('Tillegg- Inndata Øvrige'!G153) = 0, 0,'Tillegg- Inndata Øvrige'!X153*Faktorer!$Z$58)</f>
        <v>0</v>
      </c>
      <c r="AH155" s="573">
        <f>IF(('Tillegg- Inndata Øvrige'!G153) = 0, 0,'Tillegg- Inndata Øvrige'!Z153+('Tillegg- Inndata Øvrige'!X153+'Tillegg- Inndata Øvrige'!Y153)*(1-Faktorer!$Z$58)*0.5)</f>
        <v>0</v>
      </c>
      <c r="AI155" s="574">
        <f>IF(('Tillegg- Inndata Øvrige'!G153) = 0, 0,'Tillegg- Inndata Øvrige'!AA153+('Tillegg- Inndata Øvrige'!X153+'Tillegg- Inndata Øvrige'!Y153)*(1-Faktorer!$Z$58)*0.5)</f>
        <v>0</v>
      </c>
      <c r="AK155" s="90">
        <f t="shared" si="3"/>
        <v>0</v>
      </c>
      <c r="AL155" s="91">
        <f>'Tillegg- Res. Det. Øvrige'!N155</f>
        <v>0</v>
      </c>
      <c r="AM155" s="91" t="str">
        <f>IF(F155=0,"",('Tillegg- Inndata Øvrige'!E155+'Tillegg- Inndata Øvrige'!F155)*ROUNDDOWN('Tillegg- Inndata Øvrige'!I155,0)*(1+'Tillegg- Inndata Øvrige'!K155))</f>
        <v/>
      </c>
      <c r="AO155" s="1"/>
    </row>
    <row r="156" spans="2:41">
      <c r="B156" s="327">
        <f>'Tillegg- Inndata Øvrige'!B154</f>
        <v>0</v>
      </c>
      <c r="C156" s="327">
        <f>'Tillegg- Inndata Øvrige'!C154</f>
        <v>0</v>
      </c>
      <c r="D156" s="327">
        <f>'Tillegg- Inndata Øvrige'!D154</f>
        <v>0</v>
      </c>
      <c r="E156" s="421" cm="1">
        <f t="array" ref="E156">SUM(IFERROR(F156:AF156,0))</f>
        <v>0</v>
      </c>
      <c r="F156" s="330">
        <f>'Tillegg- Inndata Øvrige'!E154</f>
        <v>0</v>
      </c>
      <c r="G156" s="330">
        <f>IF('Tillegg- Inndata Øvrige'!AB154="Ja", -0.8*$F156, 0)</f>
        <v>0</v>
      </c>
      <c r="H156" s="330">
        <f>IF('Tillegg- Inndata Øvrige'!AC154="Ja", -0.4*$F156, 0)</f>
        <v>0</v>
      </c>
      <c r="I156" s="330">
        <f>IF('Tillegg- Inndata Øvrige'!AD154="Ja", -1*$F156, 0)</f>
        <v>0</v>
      </c>
      <c r="J156" s="330">
        <f>'Tillegg- Inndata Øvrige'!O154*'Tillegg- Inndata Øvrige'!P154</f>
        <v>0</v>
      </c>
      <c r="K156" s="330">
        <f>MAX(-0.75*(SUM('Tillegg- Res. Det. Øvrige'!F156:J156)),-'Tillegg- Inndata Øvrige'!O154*'Tillegg- Inndata Øvrige'!Q154)</f>
        <v>0</v>
      </c>
      <c r="L156" s="330">
        <f>'Tillegg- Inndata Øvrige'!S154*'Tillegg- Inndata Øvrige'!T154</f>
        <v>0</v>
      </c>
      <c r="M156" s="330">
        <f>MAX(-0.75*(SUM('Tillegg- Res. Det. Øvrige'!F156:I156,L156)),-'Tillegg- Inndata Øvrige'!S154*'Tillegg- Inndata Øvrige'!U154)</f>
        <v>0</v>
      </c>
      <c r="N156" s="331">
        <f>'Tillegg- Inndata Øvrige'!F154</f>
        <v>0</v>
      </c>
      <c r="O156" s="330">
        <f>'Tillegg- Inndata Øvrige'!O154*'Tillegg- Inndata Øvrige'!R154</f>
        <v>0</v>
      </c>
      <c r="P156" s="332">
        <f>'Tillegg- Inndata Øvrige'!S154*'Tillegg- Inndata Øvrige'!V154</f>
        <v>0</v>
      </c>
      <c r="Q156" s="333">
        <f>SUM(F156:J156,L156)*'Tillegg- Inndata Øvrige'!K154</f>
        <v>0</v>
      </c>
      <c r="R156" s="333">
        <f>(K156+M156)*'Tillegg- Inndata Øvrige'!K154</f>
        <v>0</v>
      </c>
      <c r="S156" s="333">
        <f>SUM(N156:P156)*'Tillegg- Inndata Øvrige'!K154</f>
        <v>0</v>
      </c>
      <c r="T156" s="334">
        <f>('Tillegg- Inndata Øvrige'!G154+'Tillegg- Inndata Øvrige'!O154+'Tillegg- Inndata Øvrige'!S154)*'Tillegg- Inndata Øvrige'!K154*Transport_utslipp_til_avfallshånderting_per_kg</f>
        <v>0</v>
      </c>
      <c r="U156" s="330">
        <f>IF('Tillegg- Inndata Øvrige'!E154 = 0, 0, 1.833*'Tillegg- Inndata Øvrige'!X154*'Tillegg- Inndata Øvrige'!K154*('Tillegg- Inndata Øvrige'!G154*('Tillegg- Inndata Øvrige'!L154*0.5+'Tillegg- Inndata Øvrige'!M154*0.8) + (12/44)*('Tillegg- Inndata Øvrige'!O154*'Tillegg- Inndata Øvrige'!Q154+'Tillegg- Inndata Øvrige'!S154*'Tillegg- Inndata Øvrige'!U154)))</f>
        <v>0</v>
      </c>
      <c r="V156" s="335">
        <f>IF('Tillegg- Inndata Øvrige'!G154 = 0, 0,  MAX(-SUM(F156:J156,L156)*'Tillegg- Inndata Øvrige'!L154, -0.114*IF('Tillegg- Inndata Øvrige'!H154 &gt; 49, _xlfn.XLOOKUP(49, År_etter_ferdigstillelse, karbon_opptak_faktor), _xlfn.XLOOKUP('Tillegg- Inndata Øvrige'!H154, År_etter_ferdigstillelse, karbon_opptak_faktor))*'Tillegg- Inndata Øvrige'!G154*'Tillegg- Inndata Øvrige'!L154*0.5))</f>
        <v>0</v>
      </c>
      <c r="W156" s="333">
        <f>IF('Tillegg- Inndata Øvrige'!G154=0,0,IF('Tillegg- Inndata Øvrige'!H154&gt;49,-0.064*'Tillegg- Inndata Øvrige'!G154*'Tillegg- Inndata Øvrige'!N154,-0.037*'Tillegg- Inndata Øvrige'!J154*'Tillegg- Inndata Øvrige'!N154))</f>
        <v>0</v>
      </c>
      <c r="X156" s="331" cm="1">
        <f t="array" ref="X156">IF(SUM(F156:J156,L156)=0, 0, SUM(F156:J156,L156)*(1+'Tillegg-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Y156" s="330" cm="1">
        <f t="array" ref="Y156">IF(X156=0, 0, SUM(K156,M156)*(1+'Tillegg-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Z156" s="336" cm="1">
        <f t="array" ref="Z156">IF(X156=0, 0, SUM(N156:P156)*(1+'Tillegg-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A156" s="336" cm="1">
        <f t="array" ref="AA156">IF(X156=0, 0, ('Tillegg- Inndata Øvrige'!G154+'Tillegg- Inndata Øvrige'!O154+'Tillegg- Inndata Øvrige'!S154)*(1+'Tillegg- Inndata Øvrige'!K154)*Transport_utslipp_til_avfallshånderting_per_kg*IF('Tillegg-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B156" s="334" cm="1">
        <f t="array" ref="AB156">IF(X156=0, 0,1.833*'Tillegg- Inndata Øvrige'!J154*('Tillegg- Inndata Øvrige'!X154*_xlfn.XLOOKUP(IF('Tillegg- Inndata Øvrige'!I154&lt;2,'Tillegg- Inndata Øvrige'!H154,'Tillegg- Inndata Øvrige'!H154*2), År_etter_ferdigstillelse, Faktorer!$Z$7:$Z$58))*('Tillegg- Inndata Øvrige'!L154*0.5+'Tillegg- Inndata Øvrige'!M154*0.8)*_xlfn.XLOOKUP(IF('Tillegg- Inndata Øvrige'!I154&lt;2,'Tillegg- Inndata Øvrige'!H154,'Tillegg- Inndata Øvrige'!H154*2), År_etter_ferdigstillelse,  IF(LEFT('Tillegg- Inndata Øvrige'!B154, 2)= 49, f_tid_x_f_tek_d_0_037, f_tid_x_f_tek_d_0_01)))</f>
        <v>0</v>
      </c>
      <c r="AC156" s="335">
        <f>IF(('Tillegg- Inndata Øvrige'!G154) = 0, 0,('Tillegg- Inndata Øvrige'!G154*((AG156+AI156)*Transport_utslipp_til_avfallshånderting_per_kg)+('Tillegg- Inndata Øvrige'!Z154*'ZERO-B Beregning'!D256)*IF('ZERO-B Beregning'!F257=0,'ZERO-B Beregning'!D257,'ZERO-B Beregning'!F257))*_xlfn.XLOOKUP(51, År_etter_ferdigstillelse, f_tid_x_f_tek_d_0_01))</f>
        <v>0</v>
      </c>
      <c r="AD156" s="337">
        <f>IF(('Tillegg- Inndata Øvrige'!G154) = 0, 0,1.833*('Tillegg- Inndata Øvrige'!G154*('Tillegg- Inndata Øvrige'!L154*0.5+'Tillegg- Inndata Øvrige'!M154*0.8)*AG156*_xlfn.XLOOKUP(51, År_etter_ferdigstillelse,  f_tid_x_f_tek_d_0_01)))</f>
        <v>0</v>
      </c>
      <c r="AE156" s="333" cm="1">
        <f t="array" ref="AE156">IF(('Tillegg- Inndata Øvrige'!G154) = 0, 0,-0.8*('Tillegg- Inndata Øvrige'!G154)*AH156*('Tillegg- Inndata Øvrige'!E154/'Tillegg- Inndata Øvrige'!G154)*_xlfn.XLOOKUP(51, År_etter_ferdigstillelse,  IF(LEFT('Tillegg- Inndata Øvrige'!B154, 2)= 49, f_tid_x_f_tek_d_0_037, f_tid_x_f_tek_d_0_01)))</f>
        <v>0</v>
      </c>
      <c r="AF156" s="338" cm="1">
        <f t="array" ref="AF156">IF(('Tillegg- Inndata Øvrige'!G154) = 0, 0,-0.1*('Tillegg- Inndata Øvrige'!G154)*AI156*('Tillegg- Inndata Øvrige'!E154/'Tillegg- Inndata Øvrige'!G154)*_xlfn.XLOOKUP(51, År_etter_ferdigstillelse,  IF(LEFT('Tillegg- Inndata Øvrige'!B154, 2)= 49, f_tid_x_f_tek_d_0_037, f_tid_x_f_tek_d_0_01)))</f>
        <v>0</v>
      </c>
      <c r="AG156" s="572">
        <f>IF(('Tillegg- Inndata Øvrige'!G154) = 0, 0,'Tillegg- Inndata Øvrige'!X154*Faktorer!$Z$58)</f>
        <v>0</v>
      </c>
      <c r="AH156" s="573">
        <f>IF(('Tillegg- Inndata Øvrige'!G154) = 0, 0,'Tillegg- Inndata Øvrige'!Z154+('Tillegg- Inndata Øvrige'!X154+'Tillegg- Inndata Øvrige'!Y154)*(1-Faktorer!$Z$58)*0.5)</f>
        <v>0</v>
      </c>
      <c r="AI156" s="574">
        <f>IF(('Tillegg- Inndata Øvrige'!G154) = 0, 0,'Tillegg- Inndata Øvrige'!AA154+('Tillegg- Inndata Øvrige'!X154+'Tillegg- Inndata Øvrige'!Y154)*(1-Faktorer!$Z$58)*0.5)</f>
        <v>0</v>
      </c>
      <c r="AK156" s="90">
        <f t="shared" si="3"/>
        <v>0</v>
      </c>
      <c r="AL156" s="91">
        <f>'Tillegg- Res. Det. Øvrige'!N156</f>
        <v>0</v>
      </c>
      <c r="AM156" s="91" t="str">
        <f>IF(F156=0,"",('Tillegg- Inndata Øvrige'!E156+'Tillegg- Inndata Øvrige'!F156)*ROUNDDOWN('Tillegg- Inndata Øvrige'!I156,0)*(1+'Tillegg- Inndata Øvrige'!K156))</f>
        <v/>
      </c>
      <c r="AO156" s="1"/>
    </row>
    <row r="157" spans="2:41">
      <c r="B157" s="327">
        <f>'Tillegg- Inndata Øvrige'!B155</f>
        <v>0</v>
      </c>
      <c r="C157" s="327">
        <f>'Tillegg- Inndata Øvrige'!C155</f>
        <v>0</v>
      </c>
      <c r="D157" s="327">
        <f>'Tillegg- Inndata Øvrige'!D155</f>
        <v>0</v>
      </c>
      <c r="E157" s="421" cm="1">
        <f t="array" ref="E157">SUM(IFERROR(F157:AF157,0))</f>
        <v>0</v>
      </c>
      <c r="F157" s="330">
        <f>'Tillegg- Inndata Øvrige'!E155</f>
        <v>0</v>
      </c>
      <c r="G157" s="330">
        <f>IF('Tillegg- Inndata Øvrige'!AB155="Ja", -0.8*$F157, 0)</f>
        <v>0</v>
      </c>
      <c r="H157" s="330">
        <f>IF('Tillegg- Inndata Øvrige'!AC155="Ja", -0.4*$F157, 0)</f>
        <v>0</v>
      </c>
      <c r="I157" s="330">
        <f>IF('Tillegg- Inndata Øvrige'!AD155="Ja", -1*$F157, 0)</f>
        <v>0</v>
      </c>
      <c r="J157" s="330">
        <f>'Tillegg- Inndata Øvrige'!O155*'Tillegg- Inndata Øvrige'!P155</f>
        <v>0</v>
      </c>
      <c r="K157" s="330">
        <f>MAX(-0.75*(SUM('Tillegg- Res. Det. Øvrige'!F157:J157)),-'Tillegg- Inndata Øvrige'!O155*'Tillegg- Inndata Øvrige'!Q155)</f>
        <v>0</v>
      </c>
      <c r="L157" s="330">
        <f>'Tillegg- Inndata Øvrige'!S155*'Tillegg- Inndata Øvrige'!T155</f>
        <v>0</v>
      </c>
      <c r="M157" s="330">
        <f>MAX(-0.75*(SUM('Tillegg- Res. Det. Øvrige'!F157:I157,L157)),-'Tillegg- Inndata Øvrige'!S155*'Tillegg- Inndata Øvrige'!U155)</f>
        <v>0</v>
      </c>
      <c r="N157" s="331">
        <f>'Tillegg- Inndata Øvrige'!F155</f>
        <v>0</v>
      </c>
      <c r="O157" s="330">
        <f>'Tillegg- Inndata Øvrige'!O155*'Tillegg- Inndata Øvrige'!R155</f>
        <v>0</v>
      </c>
      <c r="P157" s="332">
        <f>'Tillegg- Inndata Øvrige'!S155*'Tillegg- Inndata Øvrige'!V155</f>
        <v>0</v>
      </c>
      <c r="Q157" s="333">
        <f>SUM(F157:J157,L157)*'Tillegg- Inndata Øvrige'!K155</f>
        <v>0</v>
      </c>
      <c r="R157" s="333">
        <f>(K157+M157)*'Tillegg- Inndata Øvrige'!K155</f>
        <v>0</v>
      </c>
      <c r="S157" s="333">
        <f>SUM(N157:P157)*'Tillegg- Inndata Øvrige'!K155</f>
        <v>0</v>
      </c>
      <c r="T157" s="334">
        <f>('Tillegg- Inndata Øvrige'!G155+'Tillegg- Inndata Øvrige'!O155+'Tillegg- Inndata Øvrige'!S155)*'Tillegg- Inndata Øvrige'!K155*Transport_utslipp_til_avfallshånderting_per_kg</f>
        <v>0</v>
      </c>
      <c r="U157" s="330">
        <f>IF('Tillegg- Inndata Øvrige'!E155 = 0, 0, 1.833*'Tillegg- Inndata Øvrige'!X155*'Tillegg- Inndata Øvrige'!K155*('Tillegg- Inndata Øvrige'!G155*('Tillegg- Inndata Øvrige'!L155*0.5+'Tillegg- Inndata Øvrige'!M155*0.8) + (12/44)*('Tillegg- Inndata Øvrige'!O155*'Tillegg- Inndata Øvrige'!Q155+'Tillegg- Inndata Øvrige'!S155*'Tillegg- Inndata Øvrige'!U155)))</f>
        <v>0</v>
      </c>
      <c r="V157" s="335">
        <f>IF('Tillegg- Inndata Øvrige'!G155 = 0, 0,  MAX(-SUM(F157:J157,L157)*'Tillegg- Inndata Øvrige'!L155, -0.114*IF('Tillegg- Inndata Øvrige'!H155 &gt; 49, _xlfn.XLOOKUP(49, År_etter_ferdigstillelse, karbon_opptak_faktor), _xlfn.XLOOKUP('Tillegg- Inndata Øvrige'!H155, År_etter_ferdigstillelse, karbon_opptak_faktor))*'Tillegg- Inndata Øvrige'!G155*'Tillegg- Inndata Øvrige'!L155*0.5))</f>
        <v>0</v>
      </c>
      <c r="W157" s="333">
        <f>IF('Tillegg- Inndata Øvrige'!G155=0,0,IF('Tillegg- Inndata Øvrige'!H155&gt;49,-0.064*'Tillegg- Inndata Øvrige'!G155*'Tillegg- Inndata Øvrige'!N155,-0.037*'Tillegg- Inndata Øvrige'!J155*'Tillegg- Inndata Øvrige'!N155))</f>
        <v>0</v>
      </c>
      <c r="X157" s="331" cm="1">
        <f t="array" ref="X157">IF(SUM(F157:J157,L157)=0, 0, SUM(F157:J157,L157)*(1+'Tillegg-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Y157" s="330" cm="1">
        <f t="array" ref="Y157">IF(X157=0, 0, SUM(K157,M157)*(1+'Tillegg-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Z157" s="336" cm="1">
        <f t="array" ref="Z157">IF(X157=0, 0, SUM(N157:P157)*(1+'Tillegg-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A157" s="336" cm="1">
        <f t="array" ref="AA157">IF(X157=0, 0, ('Tillegg- Inndata Øvrige'!G155+'Tillegg- Inndata Øvrige'!O155+'Tillegg- Inndata Øvrige'!S155)*(1+'Tillegg- Inndata Øvrige'!K155)*Transport_utslipp_til_avfallshånderting_per_kg*IF('Tillegg-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B157" s="334" cm="1">
        <f t="array" ref="AB157">IF(X157=0, 0,1.833*'Tillegg- Inndata Øvrige'!J155*('Tillegg- Inndata Øvrige'!X155*_xlfn.XLOOKUP(IF('Tillegg- Inndata Øvrige'!I155&lt;2,'Tillegg- Inndata Øvrige'!H155,'Tillegg- Inndata Øvrige'!H155*2), År_etter_ferdigstillelse, Faktorer!$Z$7:$Z$58))*('Tillegg- Inndata Øvrige'!L155*0.5+'Tillegg- Inndata Øvrige'!M155*0.8)*_xlfn.XLOOKUP(IF('Tillegg- Inndata Øvrige'!I155&lt;2,'Tillegg- Inndata Øvrige'!H155,'Tillegg- Inndata Øvrige'!H155*2), År_etter_ferdigstillelse,  IF(LEFT('Tillegg- Inndata Øvrige'!B155, 2)= 49, f_tid_x_f_tek_d_0_037, f_tid_x_f_tek_d_0_01)))</f>
        <v>0</v>
      </c>
      <c r="AC157" s="335">
        <f>IF(('Tillegg- Inndata Øvrige'!G155) = 0, 0,('Tillegg- Inndata Øvrige'!G155*((AG157+AI157)*Transport_utslipp_til_avfallshånderting_per_kg)+('Tillegg- Inndata Øvrige'!Z155*'ZERO-B Beregning'!D257)*IF('ZERO-B Beregning'!F258=0,'ZERO-B Beregning'!D258,'ZERO-B Beregning'!F258))*_xlfn.XLOOKUP(51, År_etter_ferdigstillelse, f_tid_x_f_tek_d_0_01))</f>
        <v>0</v>
      </c>
      <c r="AD157" s="337">
        <f>IF(('Tillegg- Inndata Øvrige'!G155) = 0, 0,1.833*('Tillegg- Inndata Øvrige'!G155*('Tillegg- Inndata Øvrige'!L155*0.5+'Tillegg- Inndata Øvrige'!M155*0.8)*AG157*_xlfn.XLOOKUP(51, År_etter_ferdigstillelse,  f_tid_x_f_tek_d_0_01)))</f>
        <v>0</v>
      </c>
      <c r="AE157" s="333" cm="1">
        <f t="array" ref="AE157">IF(('Tillegg- Inndata Øvrige'!G155) = 0, 0,-0.8*('Tillegg- Inndata Øvrige'!G155)*AH157*('Tillegg- Inndata Øvrige'!E155/'Tillegg- Inndata Øvrige'!G155)*_xlfn.XLOOKUP(51, År_etter_ferdigstillelse,  IF(LEFT('Tillegg- Inndata Øvrige'!B155, 2)= 49, f_tid_x_f_tek_d_0_037, f_tid_x_f_tek_d_0_01)))</f>
        <v>0</v>
      </c>
      <c r="AF157" s="338" cm="1">
        <f t="array" ref="AF157">IF(('Tillegg- Inndata Øvrige'!G155) = 0, 0,-0.1*('Tillegg- Inndata Øvrige'!G155)*AI157*('Tillegg- Inndata Øvrige'!E155/'Tillegg- Inndata Øvrige'!G155)*_xlfn.XLOOKUP(51, År_etter_ferdigstillelse,  IF(LEFT('Tillegg- Inndata Øvrige'!B155, 2)= 49, f_tid_x_f_tek_d_0_037, f_tid_x_f_tek_d_0_01)))</f>
        <v>0</v>
      </c>
      <c r="AG157" s="572">
        <f>IF(('Tillegg- Inndata Øvrige'!G155) = 0, 0,'Tillegg- Inndata Øvrige'!X155*Faktorer!$Z$58)</f>
        <v>0</v>
      </c>
      <c r="AH157" s="573">
        <f>IF(('Tillegg- Inndata Øvrige'!G155) = 0, 0,'Tillegg- Inndata Øvrige'!Z155+('Tillegg- Inndata Øvrige'!X155+'Tillegg- Inndata Øvrige'!Y155)*(1-Faktorer!$Z$58)*0.5)</f>
        <v>0</v>
      </c>
      <c r="AI157" s="574">
        <f>IF(('Tillegg- Inndata Øvrige'!G155) = 0, 0,'Tillegg- Inndata Øvrige'!AA155+('Tillegg- Inndata Øvrige'!X155+'Tillegg- Inndata Øvrige'!Y155)*(1-Faktorer!$Z$58)*0.5)</f>
        <v>0</v>
      </c>
      <c r="AK157" s="90">
        <f t="shared" si="3"/>
        <v>0</v>
      </c>
      <c r="AL157" s="91">
        <f>'Tillegg- Res. Det. Øvrige'!N157</f>
        <v>0</v>
      </c>
      <c r="AM157" s="91" t="str">
        <f>IF(F157=0,"",('Tillegg- Inndata Øvrige'!E157+'Tillegg- Inndata Øvrige'!F157)*ROUNDDOWN('Tillegg- Inndata Øvrige'!I157,0)*(1+'Tillegg- Inndata Øvrige'!K157))</f>
        <v/>
      </c>
      <c r="AO157" s="1"/>
    </row>
    <row r="158" spans="2:41">
      <c r="B158" s="327">
        <f>'Tillegg- Inndata Øvrige'!B156</f>
        <v>0</v>
      </c>
      <c r="C158" s="327">
        <f>'Tillegg- Inndata Øvrige'!C156</f>
        <v>0</v>
      </c>
      <c r="D158" s="327">
        <f>'Tillegg- Inndata Øvrige'!D156</f>
        <v>0</v>
      </c>
      <c r="E158" s="421" cm="1">
        <f t="array" ref="E158">SUM(IFERROR(F158:AF158,0))</f>
        <v>0</v>
      </c>
      <c r="F158" s="330">
        <f>'Tillegg- Inndata Øvrige'!E156</f>
        <v>0</v>
      </c>
      <c r="G158" s="330">
        <f>IF('Tillegg- Inndata Øvrige'!AB156="Ja", -0.8*$F158, 0)</f>
        <v>0</v>
      </c>
      <c r="H158" s="330">
        <f>IF('Tillegg- Inndata Øvrige'!AC156="Ja", -0.4*$F158, 0)</f>
        <v>0</v>
      </c>
      <c r="I158" s="330">
        <f>IF('Tillegg- Inndata Øvrige'!AD156="Ja", -1*$F158, 0)</f>
        <v>0</v>
      </c>
      <c r="J158" s="330">
        <f>'Tillegg- Inndata Øvrige'!O156*'Tillegg- Inndata Øvrige'!P156</f>
        <v>0</v>
      </c>
      <c r="K158" s="330">
        <f>MAX(-0.75*(SUM('Tillegg- Res. Det. Øvrige'!F158:J158)),-'Tillegg- Inndata Øvrige'!O156*'Tillegg- Inndata Øvrige'!Q156)</f>
        <v>0</v>
      </c>
      <c r="L158" s="330">
        <f>'Tillegg- Inndata Øvrige'!S156*'Tillegg- Inndata Øvrige'!T156</f>
        <v>0</v>
      </c>
      <c r="M158" s="330">
        <f>MAX(-0.75*(SUM('Tillegg- Res. Det. Øvrige'!F158:I158,L158)),-'Tillegg- Inndata Øvrige'!S156*'Tillegg- Inndata Øvrige'!U156)</f>
        <v>0</v>
      </c>
      <c r="N158" s="331">
        <f>'Tillegg- Inndata Øvrige'!F156</f>
        <v>0</v>
      </c>
      <c r="O158" s="330">
        <f>'Tillegg- Inndata Øvrige'!O156*'Tillegg- Inndata Øvrige'!R156</f>
        <v>0</v>
      </c>
      <c r="P158" s="332">
        <f>'Tillegg- Inndata Øvrige'!S156*'Tillegg- Inndata Øvrige'!V156</f>
        <v>0</v>
      </c>
      <c r="Q158" s="333">
        <f>SUM(F158:J158,L158)*'Tillegg- Inndata Øvrige'!K156</f>
        <v>0</v>
      </c>
      <c r="R158" s="333">
        <f>(K158+M158)*'Tillegg- Inndata Øvrige'!K156</f>
        <v>0</v>
      </c>
      <c r="S158" s="333">
        <f>SUM(N158:P158)*'Tillegg- Inndata Øvrige'!K156</f>
        <v>0</v>
      </c>
      <c r="T158" s="334">
        <f>('Tillegg- Inndata Øvrige'!G156+'Tillegg- Inndata Øvrige'!O156+'Tillegg- Inndata Øvrige'!S156)*'Tillegg- Inndata Øvrige'!K156*Transport_utslipp_til_avfallshånderting_per_kg</f>
        <v>0</v>
      </c>
      <c r="U158" s="330">
        <f>IF('Tillegg- Inndata Øvrige'!E156 = 0, 0, 1.833*'Tillegg- Inndata Øvrige'!X156*'Tillegg- Inndata Øvrige'!K156*('Tillegg- Inndata Øvrige'!G156*('Tillegg- Inndata Øvrige'!L156*0.5+'Tillegg- Inndata Øvrige'!M156*0.8) + (12/44)*('Tillegg- Inndata Øvrige'!O156*'Tillegg- Inndata Øvrige'!Q156+'Tillegg- Inndata Øvrige'!S156*'Tillegg- Inndata Øvrige'!U156)))</f>
        <v>0</v>
      </c>
      <c r="V158" s="335">
        <f>IF('Tillegg- Inndata Øvrige'!G156 = 0, 0,  MAX(-SUM(F158:J158,L158)*'Tillegg- Inndata Øvrige'!L156, -0.114*IF('Tillegg- Inndata Øvrige'!H156 &gt; 49, _xlfn.XLOOKUP(49, År_etter_ferdigstillelse, karbon_opptak_faktor), _xlfn.XLOOKUP('Tillegg- Inndata Øvrige'!H156, År_etter_ferdigstillelse, karbon_opptak_faktor))*'Tillegg- Inndata Øvrige'!G156*'Tillegg- Inndata Øvrige'!L156*0.5))</f>
        <v>0</v>
      </c>
      <c r="W158" s="333">
        <f>IF('Tillegg- Inndata Øvrige'!G156=0,0,IF('Tillegg- Inndata Øvrige'!H156&gt;49,-0.064*'Tillegg- Inndata Øvrige'!G156*'Tillegg- Inndata Øvrige'!N156,-0.037*'Tillegg- Inndata Øvrige'!J156*'Tillegg- Inndata Øvrige'!N156))</f>
        <v>0</v>
      </c>
      <c r="X158" s="331" cm="1">
        <f t="array" ref="X158">IF(SUM(F158:J158,L158)=0, 0, SUM(F158:J158,L158)*(1+'Tillegg-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Y158" s="330" cm="1">
        <f t="array" ref="Y158">IF(X158=0, 0, SUM(K158,M158)*(1+'Tillegg-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Z158" s="336" cm="1">
        <f t="array" ref="Z158">IF(X158=0, 0, SUM(N158:P158)*(1+'Tillegg-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A158" s="336" cm="1">
        <f t="array" ref="AA158">IF(X158=0, 0, ('Tillegg- Inndata Øvrige'!G156+'Tillegg- Inndata Øvrige'!O156+'Tillegg- Inndata Øvrige'!S156)*(1+'Tillegg- Inndata Øvrige'!K156)*Transport_utslipp_til_avfallshånderting_per_kg*IF('Tillegg-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B158" s="334" cm="1">
        <f t="array" ref="AB158">IF(X158=0, 0,1.833*'Tillegg- Inndata Øvrige'!J156*('Tillegg- Inndata Øvrige'!X156*_xlfn.XLOOKUP(IF('Tillegg- Inndata Øvrige'!I156&lt;2,'Tillegg- Inndata Øvrige'!H156,'Tillegg- Inndata Øvrige'!H156*2), År_etter_ferdigstillelse, Faktorer!$Z$7:$Z$58))*('Tillegg- Inndata Øvrige'!L156*0.5+'Tillegg- Inndata Øvrige'!M156*0.8)*_xlfn.XLOOKUP(IF('Tillegg- Inndata Øvrige'!I156&lt;2,'Tillegg- Inndata Øvrige'!H156,'Tillegg- Inndata Øvrige'!H156*2), År_etter_ferdigstillelse,  IF(LEFT('Tillegg- Inndata Øvrige'!B156, 2)= 49, f_tid_x_f_tek_d_0_037, f_tid_x_f_tek_d_0_01)))</f>
        <v>0</v>
      </c>
      <c r="AC158" s="335">
        <f>IF(('Tillegg- Inndata Øvrige'!G156) = 0, 0,('Tillegg- Inndata Øvrige'!G156*((AG158+AI158)*Transport_utslipp_til_avfallshånderting_per_kg)+('Tillegg- Inndata Øvrige'!Z156*'ZERO-B Beregning'!D258)*IF('ZERO-B Beregning'!F259=0,'ZERO-B Beregning'!D259,'ZERO-B Beregning'!F259))*_xlfn.XLOOKUP(51, År_etter_ferdigstillelse, f_tid_x_f_tek_d_0_01))</f>
        <v>0</v>
      </c>
      <c r="AD158" s="337">
        <f>IF(('Tillegg- Inndata Øvrige'!G156) = 0, 0,1.833*('Tillegg- Inndata Øvrige'!G156*('Tillegg- Inndata Øvrige'!L156*0.5+'Tillegg- Inndata Øvrige'!M156*0.8)*AG158*_xlfn.XLOOKUP(51, År_etter_ferdigstillelse,  f_tid_x_f_tek_d_0_01)))</f>
        <v>0</v>
      </c>
      <c r="AE158" s="333" cm="1">
        <f t="array" ref="AE158">IF(('Tillegg- Inndata Øvrige'!G156) = 0, 0,-0.8*('Tillegg- Inndata Øvrige'!G156)*AH158*('Tillegg- Inndata Øvrige'!E156/'Tillegg- Inndata Øvrige'!G156)*_xlfn.XLOOKUP(51, År_etter_ferdigstillelse,  IF(LEFT('Tillegg- Inndata Øvrige'!B156, 2)= 49, f_tid_x_f_tek_d_0_037, f_tid_x_f_tek_d_0_01)))</f>
        <v>0</v>
      </c>
      <c r="AF158" s="338" cm="1">
        <f t="array" ref="AF158">IF(('Tillegg- Inndata Øvrige'!G156) = 0, 0,-0.1*('Tillegg- Inndata Øvrige'!G156)*AI158*('Tillegg- Inndata Øvrige'!E156/'Tillegg- Inndata Øvrige'!G156)*_xlfn.XLOOKUP(51, År_etter_ferdigstillelse,  IF(LEFT('Tillegg- Inndata Øvrige'!B156, 2)= 49, f_tid_x_f_tek_d_0_037, f_tid_x_f_tek_d_0_01)))</f>
        <v>0</v>
      </c>
      <c r="AG158" s="572">
        <f>IF(('Tillegg- Inndata Øvrige'!G156) = 0, 0,'Tillegg- Inndata Øvrige'!X156*Faktorer!$Z$58)</f>
        <v>0</v>
      </c>
      <c r="AH158" s="573">
        <f>IF(('Tillegg- Inndata Øvrige'!G156) = 0, 0,'Tillegg- Inndata Øvrige'!Z156+('Tillegg- Inndata Øvrige'!X156+'Tillegg- Inndata Øvrige'!Y156)*(1-Faktorer!$Z$58)*0.5)</f>
        <v>0</v>
      </c>
      <c r="AI158" s="574">
        <f>IF(('Tillegg- Inndata Øvrige'!G156) = 0, 0,'Tillegg- Inndata Øvrige'!AA156+('Tillegg- Inndata Øvrige'!X156+'Tillegg- Inndata Øvrige'!Y156)*(1-Faktorer!$Z$58)*0.5)</f>
        <v>0</v>
      </c>
      <c r="AK158" s="90">
        <f t="shared" si="3"/>
        <v>0</v>
      </c>
      <c r="AL158" s="91">
        <f>'Tillegg- Res. Det. Øvrige'!N158</f>
        <v>0</v>
      </c>
      <c r="AM158" s="91" t="str">
        <f>IF(F158=0,"",('Tillegg- Inndata Øvrige'!E158+'Tillegg- Inndata Øvrige'!F158)*ROUNDDOWN('Tillegg- Inndata Øvrige'!I158,0)*(1+'Tillegg- Inndata Øvrige'!K158))</f>
        <v/>
      </c>
      <c r="AO158" s="1"/>
    </row>
    <row r="159" spans="2:41">
      <c r="B159" s="327">
        <f>'Tillegg- Inndata Øvrige'!B157</f>
        <v>0</v>
      </c>
      <c r="C159" s="327">
        <f>'Tillegg- Inndata Øvrige'!C157</f>
        <v>0</v>
      </c>
      <c r="D159" s="327">
        <f>'Tillegg- Inndata Øvrige'!D157</f>
        <v>0</v>
      </c>
      <c r="E159" s="421" cm="1">
        <f t="array" ref="E159">SUM(IFERROR(F159:AF159,0))</f>
        <v>0</v>
      </c>
      <c r="F159" s="330">
        <f>'Tillegg- Inndata Øvrige'!E157</f>
        <v>0</v>
      </c>
      <c r="G159" s="330">
        <f>IF('Tillegg- Inndata Øvrige'!AB157="Ja", -0.8*$F159, 0)</f>
        <v>0</v>
      </c>
      <c r="H159" s="330">
        <f>IF('Tillegg- Inndata Øvrige'!AC157="Ja", -0.4*$F159, 0)</f>
        <v>0</v>
      </c>
      <c r="I159" s="330">
        <f>IF('Tillegg- Inndata Øvrige'!AD157="Ja", -1*$F159, 0)</f>
        <v>0</v>
      </c>
      <c r="J159" s="330">
        <f>'Tillegg- Inndata Øvrige'!O157*'Tillegg- Inndata Øvrige'!P157</f>
        <v>0</v>
      </c>
      <c r="K159" s="330">
        <f>MAX(-0.75*(SUM('Tillegg- Res. Det. Øvrige'!F159:J159)),-'Tillegg- Inndata Øvrige'!O157*'Tillegg- Inndata Øvrige'!Q157)</f>
        <v>0</v>
      </c>
      <c r="L159" s="330">
        <f>'Tillegg- Inndata Øvrige'!S157*'Tillegg- Inndata Øvrige'!T157</f>
        <v>0</v>
      </c>
      <c r="M159" s="330">
        <f>MAX(-0.75*(SUM('Tillegg- Res. Det. Øvrige'!F159:I159,L159)),-'Tillegg- Inndata Øvrige'!S157*'Tillegg- Inndata Øvrige'!U157)</f>
        <v>0</v>
      </c>
      <c r="N159" s="331">
        <f>'Tillegg- Inndata Øvrige'!F157</f>
        <v>0</v>
      </c>
      <c r="O159" s="330">
        <f>'Tillegg- Inndata Øvrige'!O157*'Tillegg- Inndata Øvrige'!R157</f>
        <v>0</v>
      </c>
      <c r="P159" s="332">
        <f>'Tillegg- Inndata Øvrige'!S157*'Tillegg- Inndata Øvrige'!V157</f>
        <v>0</v>
      </c>
      <c r="Q159" s="333">
        <f>SUM(F159:J159,L159)*'Tillegg- Inndata Øvrige'!K157</f>
        <v>0</v>
      </c>
      <c r="R159" s="333">
        <f>(K159+M159)*'Tillegg- Inndata Øvrige'!K157</f>
        <v>0</v>
      </c>
      <c r="S159" s="333">
        <f>SUM(N159:P159)*'Tillegg- Inndata Øvrige'!K157</f>
        <v>0</v>
      </c>
      <c r="T159" s="334">
        <f>('Tillegg- Inndata Øvrige'!G157+'Tillegg- Inndata Øvrige'!O157+'Tillegg- Inndata Øvrige'!S157)*'Tillegg- Inndata Øvrige'!K157*Transport_utslipp_til_avfallshånderting_per_kg</f>
        <v>0</v>
      </c>
      <c r="U159" s="330">
        <f>IF('Tillegg- Inndata Øvrige'!E157 = 0, 0, 1.833*'Tillegg- Inndata Øvrige'!X157*'Tillegg- Inndata Øvrige'!K157*('Tillegg- Inndata Øvrige'!G157*('Tillegg- Inndata Øvrige'!L157*0.5+'Tillegg- Inndata Øvrige'!M157*0.8) + (12/44)*('Tillegg- Inndata Øvrige'!O157*'Tillegg- Inndata Øvrige'!Q157+'Tillegg- Inndata Øvrige'!S157*'Tillegg- Inndata Øvrige'!U157)))</f>
        <v>0</v>
      </c>
      <c r="V159" s="335">
        <f>IF('Tillegg- Inndata Øvrige'!G157 = 0, 0,  MAX(-SUM(F159:J159,L159)*'Tillegg- Inndata Øvrige'!L157, -0.114*IF('Tillegg- Inndata Øvrige'!H157 &gt; 49, _xlfn.XLOOKUP(49, År_etter_ferdigstillelse, karbon_opptak_faktor), _xlfn.XLOOKUP('Tillegg- Inndata Øvrige'!H157, År_etter_ferdigstillelse, karbon_opptak_faktor))*'Tillegg- Inndata Øvrige'!G157*'Tillegg- Inndata Øvrige'!L157*0.5))</f>
        <v>0</v>
      </c>
      <c r="W159" s="333">
        <f>IF('Tillegg- Inndata Øvrige'!G157=0,0,IF('Tillegg- Inndata Øvrige'!H157&gt;49,-0.064*'Tillegg- Inndata Øvrige'!G157*'Tillegg- Inndata Øvrige'!N157,-0.037*'Tillegg- Inndata Øvrige'!J157*'Tillegg- Inndata Øvrige'!N157))</f>
        <v>0</v>
      </c>
      <c r="X159" s="331" cm="1">
        <f t="array" ref="X159">IF(SUM(F159:J159,L159)=0, 0, SUM(F159:J159,L159)*(1+'Tillegg-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Y159" s="330" cm="1">
        <f t="array" ref="Y159">IF(X159=0, 0, SUM(K159,M159)*(1+'Tillegg-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Z159" s="336" cm="1">
        <f t="array" ref="Z159">IF(X159=0, 0, SUM(N159:P159)*(1+'Tillegg-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A159" s="336" cm="1">
        <f t="array" ref="AA159">IF(X159=0, 0, ('Tillegg- Inndata Øvrige'!G157+'Tillegg- Inndata Øvrige'!O157+'Tillegg- Inndata Øvrige'!S157)*(1+'Tillegg- Inndata Øvrige'!K157)*Transport_utslipp_til_avfallshånderting_per_kg*IF('Tillegg-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B159" s="334" cm="1">
        <f t="array" ref="AB159">IF(X159=0, 0,1.833*'Tillegg- Inndata Øvrige'!J157*('Tillegg- Inndata Øvrige'!X157*_xlfn.XLOOKUP(IF('Tillegg- Inndata Øvrige'!I157&lt;2,'Tillegg- Inndata Øvrige'!H157,'Tillegg- Inndata Øvrige'!H157*2), År_etter_ferdigstillelse, Faktorer!$Z$7:$Z$58))*('Tillegg- Inndata Øvrige'!L157*0.5+'Tillegg- Inndata Øvrige'!M157*0.8)*_xlfn.XLOOKUP(IF('Tillegg- Inndata Øvrige'!I157&lt;2,'Tillegg- Inndata Øvrige'!H157,'Tillegg- Inndata Øvrige'!H157*2), År_etter_ferdigstillelse,  IF(LEFT('Tillegg- Inndata Øvrige'!B157, 2)= 49, f_tid_x_f_tek_d_0_037, f_tid_x_f_tek_d_0_01)))</f>
        <v>0</v>
      </c>
      <c r="AC159" s="335">
        <f>IF(('Tillegg- Inndata Øvrige'!G157) = 0, 0,('Tillegg- Inndata Øvrige'!G157*((AG159+AI159)*Transport_utslipp_til_avfallshånderting_per_kg)+('Tillegg- Inndata Øvrige'!Z157*'ZERO-B Beregning'!D259)*IF('ZERO-B Beregning'!F260=0,'ZERO-B Beregning'!D260,'ZERO-B Beregning'!F260))*_xlfn.XLOOKUP(51, År_etter_ferdigstillelse, f_tid_x_f_tek_d_0_01))</f>
        <v>0</v>
      </c>
      <c r="AD159" s="337">
        <f>IF(('Tillegg- Inndata Øvrige'!G157) = 0, 0,1.833*('Tillegg- Inndata Øvrige'!G157*('Tillegg- Inndata Øvrige'!L157*0.5+'Tillegg- Inndata Øvrige'!M157*0.8)*AG159*_xlfn.XLOOKUP(51, År_etter_ferdigstillelse,  f_tid_x_f_tek_d_0_01)))</f>
        <v>0</v>
      </c>
      <c r="AE159" s="333" cm="1">
        <f t="array" ref="AE159">IF(('Tillegg- Inndata Øvrige'!G157) = 0, 0,-0.8*('Tillegg- Inndata Øvrige'!G157)*AH159*('Tillegg- Inndata Øvrige'!E157/'Tillegg- Inndata Øvrige'!G157)*_xlfn.XLOOKUP(51, År_etter_ferdigstillelse,  IF(LEFT('Tillegg- Inndata Øvrige'!B157, 2)= 49, f_tid_x_f_tek_d_0_037, f_tid_x_f_tek_d_0_01)))</f>
        <v>0</v>
      </c>
      <c r="AF159" s="338" cm="1">
        <f t="array" ref="AF159">IF(('Tillegg- Inndata Øvrige'!G157) = 0, 0,-0.1*('Tillegg- Inndata Øvrige'!G157)*AI159*('Tillegg- Inndata Øvrige'!E157/'Tillegg- Inndata Øvrige'!G157)*_xlfn.XLOOKUP(51, År_etter_ferdigstillelse,  IF(LEFT('Tillegg- Inndata Øvrige'!B157, 2)= 49, f_tid_x_f_tek_d_0_037, f_tid_x_f_tek_d_0_01)))</f>
        <v>0</v>
      </c>
      <c r="AG159" s="572">
        <f>IF(('Tillegg- Inndata Øvrige'!G157) = 0, 0,'Tillegg- Inndata Øvrige'!X157*Faktorer!$Z$58)</f>
        <v>0</v>
      </c>
      <c r="AH159" s="573">
        <f>IF(('Tillegg- Inndata Øvrige'!G157) = 0, 0,'Tillegg- Inndata Øvrige'!Z157+('Tillegg- Inndata Øvrige'!X157+'Tillegg- Inndata Øvrige'!Y157)*(1-Faktorer!$Z$58)*0.5)</f>
        <v>0</v>
      </c>
      <c r="AI159" s="574">
        <f>IF(('Tillegg- Inndata Øvrige'!G157) = 0, 0,'Tillegg- Inndata Øvrige'!AA157+('Tillegg- Inndata Øvrige'!X157+'Tillegg- Inndata Øvrige'!Y157)*(1-Faktorer!$Z$58)*0.5)</f>
        <v>0</v>
      </c>
      <c r="AK159" s="90">
        <f t="shared" si="3"/>
        <v>0</v>
      </c>
      <c r="AL159" s="91">
        <f>'Tillegg- Res. Det. Øvrige'!N159</f>
        <v>0</v>
      </c>
      <c r="AM159" s="91" t="str">
        <f>IF(F159=0,"",('Tillegg- Inndata Øvrige'!E159+'Tillegg- Inndata Øvrige'!F159)*ROUNDDOWN('Tillegg- Inndata Øvrige'!I159,0)*(1+'Tillegg- Inndata Øvrige'!K159))</f>
        <v/>
      </c>
      <c r="AO159" s="1"/>
    </row>
    <row r="160" spans="2:41">
      <c r="B160" s="662">
        <f>'Tillegg- Inndata Øvrige'!B158</f>
        <v>0</v>
      </c>
      <c r="C160" s="662">
        <f>'Tillegg- Inndata Øvrige'!C158</f>
        <v>0</v>
      </c>
      <c r="D160" s="662">
        <f>'Tillegg- Inndata Øvrige'!D158</f>
        <v>0</v>
      </c>
      <c r="E160" s="680" cm="1">
        <f t="array" ref="E160">SUM(IFERROR(F160:AF160,0))</f>
        <v>0</v>
      </c>
      <c r="F160" s="344">
        <f>'Tillegg- Inndata Øvrige'!E158</f>
        <v>0</v>
      </c>
      <c r="G160" s="344">
        <f>IF('Tillegg- Inndata Øvrige'!AB158="Ja", -0.8*$F160, 0)</f>
        <v>0</v>
      </c>
      <c r="H160" s="344">
        <f>IF('Tillegg- Inndata Øvrige'!AC158="Ja", -0.4*$F160, 0)</f>
        <v>0</v>
      </c>
      <c r="I160" s="344">
        <f>IF('Tillegg- Inndata Øvrige'!AD158="Ja", -1*$F160, 0)</f>
        <v>0</v>
      </c>
      <c r="J160" s="344">
        <f>'Tillegg- Inndata Øvrige'!O158*'Tillegg- Inndata Øvrige'!P158</f>
        <v>0</v>
      </c>
      <c r="K160" s="344">
        <f>MAX(-0.75*(SUM('Tillegg- Res. Det. Øvrige'!F160:J160)),-'Tillegg- Inndata Øvrige'!O158*'Tillegg- Inndata Øvrige'!Q158)</f>
        <v>0</v>
      </c>
      <c r="L160" s="344">
        <f>'Tillegg- Inndata Øvrige'!S158*'Tillegg- Inndata Øvrige'!T158</f>
        <v>0</v>
      </c>
      <c r="M160" s="344">
        <f>MAX(-0.75*(SUM('Tillegg- Res. Det. Øvrige'!F160:I160,L160)),-'Tillegg- Inndata Øvrige'!S158*'Tillegg- Inndata Øvrige'!U158)</f>
        <v>0</v>
      </c>
      <c r="N160" s="345">
        <f>'Tillegg- Inndata Øvrige'!F158</f>
        <v>0</v>
      </c>
      <c r="O160" s="344">
        <f>'Tillegg- Inndata Øvrige'!O158*'Tillegg- Inndata Øvrige'!R158</f>
        <v>0</v>
      </c>
      <c r="P160" s="666">
        <f>'Tillegg- Inndata Øvrige'!S158*'Tillegg- Inndata Øvrige'!V158</f>
        <v>0</v>
      </c>
      <c r="Q160" s="346">
        <f>SUM(F160:J160,L160)*'Tillegg- Inndata Øvrige'!K158</f>
        <v>0</v>
      </c>
      <c r="R160" s="346">
        <f>(K160+M160)*'Tillegg- Inndata Øvrige'!K158</f>
        <v>0</v>
      </c>
      <c r="S160" s="346">
        <f>SUM(N160:P160)*'Tillegg- Inndata Øvrige'!K158</f>
        <v>0</v>
      </c>
      <c r="T160" s="346">
        <f>('Tillegg- Inndata Øvrige'!G158+'Tillegg- Inndata Øvrige'!O158+'Tillegg- Inndata Øvrige'!S158)*'Tillegg- Inndata Øvrige'!K158*Transport_utslipp_til_avfallshånderting_per_kg</f>
        <v>0</v>
      </c>
      <c r="U160" s="344">
        <f>IF('Tillegg- Inndata Øvrige'!E158 = 0, 0, 1.833*'Tillegg- Inndata Øvrige'!X158*'Tillegg- Inndata Øvrige'!K158*('Tillegg- Inndata Øvrige'!G158*('Tillegg- Inndata Øvrige'!L158*0.5+'Tillegg- Inndata Øvrige'!M158*0.8) + (12/44)*('Tillegg- Inndata Øvrige'!O158*'Tillegg- Inndata Øvrige'!Q158+'Tillegg- Inndata Øvrige'!S158*'Tillegg- Inndata Øvrige'!U158)))</f>
        <v>0</v>
      </c>
      <c r="V160" s="667">
        <f>IF('Tillegg- Inndata Øvrige'!G158 = 0, 0,  MAX(-SUM(F160:J160,L160)*'Tillegg- Inndata Øvrige'!L158, -0.114*IF('Tillegg- Inndata Øvrige'!H158 &gt; 49, _xlfn.XLOOKUP(49, År_etter_ferdigstillelse, karbon_opptak_faktor), _xlfn.XLOOKUP('Tillegg- Inndata Øvrige'!H158, År_etter_ferdigstillelse, karbon_opptak_faktor))*'Tillegg- Inndata Øvrige'!G158*'Tillegg- Inndata Øvrige'!L158*0.5))</f>
        <v>0</v>
      </c>
      <c r="W160" s="346">
        <f>IF('Tillegg- Inndata Øvrige'!G158=0,0,IF('Tillegg- Inndata Øvrige'!H158&gt;49,-0.064*'Tillegg- Inndata Øvrige'!G158*'Tillegg- Inndata Øvrige'!N158,-0.037*'Tillegg- Inndata Øvrige'!J158*'Tillegg- Inndata Øvrige'!N158))</f>
        <v>0</v>
      </c>
      <c r="X160" s="345" cm="1">
        <f t="array" ref="X160">IF(SUM(F160:J160,L160)=0, 0, SUM(F160:J160,L160)*(1+'Tillegg-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Y160" s="344" cm="1">
        <f t="array" ref="Y160">IF(X160=0, 0, SUM(K160,M160)*(1+'Tillegg-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Z160" s="344" cm="1">
        <f t="array" ref="Z160">IF(X160=0, 0, SUM(N160:P160)*(1+'Tillegg-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A160" s="344" cm="1">
        <f t="array" ref="AA160">IF(X160=0, 0, ('Tillegg- Inndata Øvrige'!G158+'Tillegg- Inndata Øvrige'!O158+'Tillegg- Inndata Øvrige'!S158)*(1+'Tillegg- Inndata Øvrige'!K158)*Transport_utslipp_til_avfallshånderting_per_kg*IF('Tillegg-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B160" s="346" cm="1">
        <f t="array" ref="AB160">IF(X160=0, 0,1.833*'Tillegg- Inndata Øvrige'!J158*('Tillegg- Inndata Øvrige'!X158*_xlfn.XLOOKUP(IF('Tillegg- Inndata Øvrige'!I158&lt;2,'Tillegg- Inndata Øvrige'!H158,'Tillegg- Inndata Øvrige'!H158*2), År_etter_ferdigstillelse, Faktorer!$Z$7:$Z$58))*('Tillegg- Inndata Øvrige'!L158*0.5+'Tillegg- Inndata Øvrige'!M158*0.8)*_xlfn.XLOOKUP(IF('Tillegg- Inndata Øvrige'!I158&lt;2,'Tillegg- Inndata Øvrige'!H158,'Tillegg- Inndata Øvrige'!H158*2), År_etter_ferdigstillelse,  IF(LEFT('Tillegg- Inndata Øvrige'!B158, 2)= 49, f_tid_x_f_tek_d_0_037, f_tid_x_f_tek_d_0_01)))</f>
        <v>0</v>
      </c>
      <c r="AC160" s="667">
        <f>IF(('Tillegg- Inndata Øvrige'!G158) = 0, 0,('Tillegg- Inndata Øvrige'!G158*((AG160+AI160)*Transport_utslipp_til_avfallshånderting_per_kg)+('Tillegg- Inndata Øvrige'!Z158*'ZERO-B Beregning'!D260)*IF('ZERO-B Beregning'!F261=0,'ZERO-B Beregning'!D261,'ZERO-B Beregning'!F261))*_xlfn.XLOOKUP(51, År_etter_ferdigstillelse, f_tid_x_f_tek_d_0_01))</f>
        <v>0</v>
      </c>
      <c r="AD160" s="668">
        <f>IF(('Tillegg- Inndata Øvrige'!G158) = 0, 0,1.833*('Tillegg- Inndata Øvrige'!G158*('Tillegg- Inndata Øvrige'!L158*0.5+'Tillegg- Inndata Øvrige'!M158*0.8)*AG160*_xlfn.XLOOKUP(51, År_etter_ferdigstillelse,  f_tid_x_f_tek_d_0_01)))</f>
        <v>0</v>
      </c>
      <c r="AE160" s="346" cm="1">
        <f t="array" ref="AE160">IF(('Tillegg- Inndata Øvrige'!G158) = 0, 0,-0.8*('Tillegg- Inndata Øvrige'!G158)*AH160*('Tillegg- Inndata Øvrige'!E158/'Tillegg- Inndata Øvrige'!G158)*_xlfn.XLOOKUP(51, År_etter_ferdigstillelse,  IF(LEFT('Tillegg- Inndata Øvrige'!B158, 2)= 49, f_tid_x_f_tek_d_0_037, f_tid_x_f_tek_d_0_01)))</f>
        <v>0</v>
      </c>
      <c r="AF160" s="669" cm="1">
        <f t="array" ref="AF160">IF(('Tillegg- Inndata Øvrige'!G158) = 0, 0,-0.1*('Tillegg- Inndata Øvrige'!G158)*AI160*('Tillegg- Inndata Øvrige'!E158/'Tillegg- Inndata Øvrige'!G158)*_xlfn.XLOOKUP(51, År_etter_ferdigstillelse,  IF(LEFT('Tillegg- Inndata Øvrige'!B158, 2)= 49, f_tid_x_f_tek_d_0_037, f_tid_x_f_tek_d_0_01)))</f>
        <v>0</v>
      </c>
      <c r="AG160" s="670">
        <f>IF(('Tillegg- Inndata Øvrige'!G158) = 0, 0,'Tillegg- Inndata Øvrige'!X158*Faktorer!$Z$58)</f>
        <v>0</v>
      </c>
      <c r="AH160" s="671">
        <f>IF(('Tillegg- Inndata Øvrige'!G158) = 0, 0,'Tillegg- Inndata Øvrige'!Z158+('Tillegg- Inndata Øvrige'!X158+'Tillegg- Inndata Øvrige'!Y158)*(1-Faktorer!$Z$58)*0.5)</f>
        <v>0</v>
      </c>
      <c r="AI160" s="672">
        <f>IF(('Tillegg- Inndata Øvrige'!G158) = 0, 0,'Tillegg- Inndata Øvrige'!AA158+('Tillegg- Inndata Øvrige'!X158+'Tillegg- Inndata Øvrige'!Y158)*(1-Faktorer!$Z$58)*0.5)</f>
        <v>0</v>
      </c>
      <c r="AJ160" s="498"/>
      <c r="AK160" s="673">
        <f t="shared" si="3"/>
        <v>0</v>
      </c>
      <c r="AL160" s="674">
        <f>'Tillegg- Res. Det. Øvrige'!N160</f>
        <v>0</v>
      </c>
      <c r="AM160" s="674" t="str">
        <f>IF(F160=0,"",('Tillegg- Inndata Øvrige'!E160+'Tillegg- Inndata Øvrige'!F160)*ROUNDDOWN('Tillegg- Inndata Øvrige'!I160,0)*(1+'Tillegg- Inndata Øvrige'!K160))</f>
        <v/>
      </c>
      <c r="AO160" s="1"/>
    </row>
    <row r="161" spans="41:41">
      <c r="AO161" s="1"/>
    </row>
    <row r="162" spans="41:41">
      <c r="AO162" s="1"/>
    </row>
    <row r="163" spans="41:41">
      <c r="AO163" s="1"/>
    </row>
    <row r="164" spans="41:41">
      <c r="AO164" s="1"/>
    </row>
    <row r="165" spans="41:41">
      <c r="AO165" s="1"/>
    </row>
    <row r="166" spans="41:41">
      <c r="AO166" s="1"/>
    </row>
    <row r="167" spans="41:41">
      <c r="AO167" s="1"/>
    </row>
    <row r="168" spans="41:41">
      <c r="AO168" s="1"/>
    </row>
    <row r="169" spans="41:41">
      <c r="AO169" s="1"/>
    </row>
    <row r="170" spans="41:41">
      <c r="AO170" s="1"/>
    </row>
    <row r="171" spans="41:41">
      <c r="AO171" s="1"/>
    </row>
    <row r="172" spans="41:41">
      <c r="AO172" s="1"/>
    </row>
    <row r="173" spans="41:41">
      <c r="AO173" s="1"/>
    </row>
    <row r="174" spans="41:41">
      <c r="AO174" s="1"/>
    </row>
    <row r="175" spans="41:41">
      <c r="AO175" s="1"/>
    </row>
    <row r="176" spans="41:41">
      <c r="AO176" s="1"/>
    </row>
    <row r="177" spans="41:41">
      <c r="AO177" s="1"/>
    </row>
    <row r="178" spans="41:41">
      <c r="AO178" s="1"/>
    </row>
    <row r="179" spans="41:41">
      <c r="AO179" s="1"/>
    </row>
    <row r="180" spans="41:41">
      <c r="AO180" s="1"/>
    </row>
    <row r="181" spans="41:41">
      <c r="AO181" s="1"/>
    </row>
    <row r="182" spans="41:41">
      <c r="AO182" s="1"/>
    </row>
    <row r="183" spans="41:41">
      <c r="AO183" s="1"/>
    </row>
    <row r="184" spans="41:41">
      <c r="AO184" s="1"/>
    </row>
    <row r="185" spans="41:41">
      <c r="AO185" s="1"/>
    </row>
    <row r="186" spans="41:41">
      <c r="AO186" s="1"/>
    </row>
    <row r="187" spans="41:41">
      <c r="AO187" s="1"/>
    </row>
    <row r="188" spans="41:41">
      <c r="AO188" s="1"/>
    </row>
    <row r="189" spans="41:41">
      <c r="AO189" s="1"/>
    </row>
    <row r="190" spans="41:41">
      <c r="AO190" s="1"/>
    </row>
    <row r="191" spans="41:41">
      <c r="AO191" s="1"/>
    </row>
    <row r="192" spans="41:41">
      <c r="AO192" s="1"/>
    </row>
    <row r="193" spans="41:41">
      <c r="AO193" s="1"/>
    </row>
    <row r="194" spans="41:41">
      <c r="AO194" s="1"/>
    </row>
    <row r="195" spans="41:41">
      <c r="AO195" s="1"/>
    </row>
    <row r="196" spans="41:41">
      <c r="AO196" s="1"/>
    </row>
    <row r="197" spans="41:41">
      <c r="AO197" s="1"/>
    </row>
    <row r="198" spans="41:41">
      <c r="AO198" s="1"/>
    </row>
    <row r="199" spans="41:41">
      <c r="AO199" s="1"/>
    </row>
    <row r="200" spans="41:41">
      <c r="AO200" s="1"/>
    </row>
    <row r="201" spans="41:41">
      <c r="AO201" s="1"/>
    </row>
    <row r="202" spans="41:41">
      <c r="AO202" s="1"/>
    </row>
    <row r="203" spans="41:41">
      <c r="AO203" s="1"/>
    </row>
    <row r="204" spans="41:41">
      <c r="AO204" s="1"/>
    </row>
    <row r="205" spans="41:41">
      <c r="AO205" s="1"/>
    </row>
    <row r="206" spans="41:41">
      <c r="AO206" s="1"/>
    </row>
    <row r="207" spans="41:41">
      <c r="AO207" s="1"/>
    </row>
    <row r="208" spans="41:41">
      <c r="AO208" s="1"/>
    </row>
    <row r="209" spans="41:41">
      <c r="AO209" s="1"/>
    </row>
    <row r="210" spans="41:41">
      <c r="AO210" s="1"/>
    </row>
    <row r="211" spans="41:41">
      <c r="AO211" s="1"/>
    </row>
    <row r="212" spans="41:41">
      <c r="AO212" s="1"/>
    </row>
    <row r="213" spans="41:41">
      <c r="AO213" s="1"/>
    </row>
    <row r="214" spans="41:41">
      <c r="AO214" s="1"/>
    </row>
    <row r="215" spans="41:41">
      <c r="AO215" s="1"/>
    </row>
    <row r="216" spans="41:41">
      <c r="AO216" s="1"/>
    </row>
    <row r="217" spans="41:41">
      <c r="AO217" s="1"/>
    </row>
    <row r="218" spans="41:41">
      <c r="AO218" s="1"/>
    </row>
    <row r="219" spans="41:41">
      <c r="AO219" s="1"/>
    </row>
    <row r="220" spans="41:41">
      <c r="AO220" s="1"/>
    </row>
    <row r="221" spans="41:41">
      <c r="AO221" s="1"/>
    </row>
    <row r="222" spans="41:41">
      <c r="AO222" s="1"/>
    </row>
    <row r="223" spans="41:41">
      <c r="AO223" s="1"/>
    </row>
    <row r="224" spans="41:41">
      <c r="AO224" s="1"/>
    </row>
    <row r="225" spans="41:41">
      <c r="AO225" s="1"/>
    </row>
    <row r="226" spans="41:41">
      <c r="AO226" s="1"/>
    </row>
    <row r="227" spans="41:41">
      <c r="AO227" s="1"/>
    </row>
    <row r="228" spans="41:41">
      <c r="AO228" s="1"/>
    </row>
    <row r="229" spans="41:41">
      <c r="AO229" s="1"/>
    </row>
    <row r="230" spans="41:41">
      <c r="AO230" s="1"/>
    </row>
    <row r="231" spans="41:41">
      <c r="AO231" s="1"/>
    </row>
    <row r="232" spans="41:41">
      <c r="AO232" s="1"/>
    </row>
    <row r="233" spans="41:41">
      <c r="AO233" s="1"/>
    </row>
    <row r="234" spans="41:41">
      <c r="AO234" s="1"/>
    </row>
    <row r="235" spans="41:41">
      <c r="AO235" s="1"/>
    </row>
    <row r="236" spans="41:41">
      <c r="AO236" s="1"/>
    </row>
    <row r="237" spans="41:41">
      <c r="AO237" s="1"/>
    </row>
    <row r="238" spans="41:41">
      <c r="AO238" s="1"/>
    </row>
    <row r="239" spans="41:41">
      <c r="AO239" s="1"/>
    </row>
    <row r="240" spans="41:41">
      <c r="AO240" s="1"/>
    </row>
    <row r="241" spans="41:41">
      <c r="AO241" s="1"/>
    </row>
    <row r="242" spans="41:41">
      <c r="AO242" s="1"/>
    </row>
    <row r="243" spans="41:41">
      <c r="AO243" s="1"/>
    </row>
    <row r="244" spans="41:41">
      <c r="AO244" s="1"/>
    </row>
    <row r="245" spans="41:41">
      <c r="AO245" s="1"/>
    </row>
    <row r="246" spans="41:41">
      <c r="AO246" s="1"/>
    </row>
    <row r="247" spans="41:41">
      <c r="AO247" s="1"/>
    </row>
    <row r="248" spans="41:41">
      <c r="AO248" s="1"/>
    </row>
    <row r="249" spans="41:41">
      <c r="AO249" s="1"/>
    </row>
    <row r="250" spans="41:41">
      <c r="AO250" s="1"/>
    </row>
    <row r="251" spans="41:41">
      <c r="AO251" s="1"/>
    </row>
    <row r="252" spans="41:41">
      <c r="AO252" s="1"/>
    </row>
    <row r="253" spans="41:41">
      <c r="AO253" s="1"/>
    </row>
    <row r="254" spans="41:41">
      <c r="AO254" s="1"/>
    </row>
    <row r="255" spans="41:41">
      <c r="AO255" s="1"/>
    </row>
    <row r="256" spans="41:41">
      <c r="AO256" s="1"/>
    </row>
    <row r="257" spans="41:41">
      <c r="AO257" s="1"/>
    </row>
    <row r="258" spans="41:41">
      <c r="AO258" s="1"/>
    </row>
    <row r="259" spans="41:41">
      <c r="AO259" s="1"/>
    </row>
    <row r="260" spans="41:41">
      <c r="AO260" s="1"/>
    </row>
    <row r="261" spans="41:41">
      <c r="AO261" s="1"/>
    </row>
    <row r="262" spans="41:41">
      <c r="AO262" s="1"/>
    </row>
    <row r="263" spans="41:41">
      <c r="AO263" s="1"/>
    </row>
    <row r="264" spans="41:41">
      <c r="AO264" s="1"/>
    </row>
    <row r="265" spans="41:41">
      <c r="AO265" s="1"/>
    </row>
    <row r="266" spans="41:41">
      <c r="AO266" s="1"/>
    </row>
    <row r="267" spans="41:41">
      <c r="AO267" s="1"/>
    </row>
    <row r="268" spans="41:41">
      <c r="AO268" s="1"/>
    </row>
    <row r="269" spans="41:41">
      <c r="AO269" s="1"/>
    </row>
    <row r="270" spans="41:41">
      <c r="AO270" s="1"/>
    </row>
    <row r="271" spans="41:41">
      <c r="AO271" s="1"/>
    </row>
    <row r="272" spans="41:41">
      <c r="AO272" s="1"/>
    </row>
    <row r="273" spans="41:41">
      <c r="AO273" s="1"/>
    </row>
    <row r="274" spans="41:41">
      <c r="AO274" s="1"/>
    </row>
    <row r="275" spans="41:41">
      <c r="AO275" s="1"/>
    </row>
    <row r="276" spans="41:41">
      <c r="AO276" s="1"/>
    </row>
    <row r="277" spans="41:41">
      <c r="AO277" s="1"/>
    </row>
    <row r="278" spans="41:41">
      <c r="AO278" s="1"/>
    </row>
    <row r="279" spans="41:41">
      <c r="AO279" s="1"/>
    </row>
    <row r="280" spans="41:41">
      <c r="AO280" s="1"/>
    </row>
    <row r="281" spans="41:41">
      <c r="AO281" s="1"/>
    </row>
    <row r="282" spans="41:41">
      <c r="AO282" s="1"/>
    </row>
    <row r="283" spans="41:41">
      <c r="AO283" s="1"/>
    </row>
    <row r="284" spans="41:41">
      <c r="AO284" s="1"/>
    </row>
    <row r="285" spans="41:41">
      <c r="AO285" s="1"/>
    </row>
    <row r="286" spans="41:41">
      <c r="AO286" s="1"/>
    </row>
    <row r="287" spans="41:41">
      <c r="AO287" s="1"/>
    </row>
    <row r="288" spans="41:41">
      <c r="AO288" s="1"/>
    </row>
    <row r="289" spans="41:41">
      <c r="AO289" s="1"/>
    </row>
    <row r="290" spans="41:41">
      <c r="AO290" s="1"/>
    </row>
    <row r="291" spans="41:41">
      <c r="AO291" s="1"/>
    </row>
    <row r="292" spans="41:41">
      <c r="AO292" s="1"/>
    </row>
    <row r="293" spans="41:41">
      <c r="AO293" s="1"/>
    </row>
    <row r="294" spans="41:41">
      <c r="AO294" s="1"/>
    </row>
    <row r="295" spans="41:41">
      <c r="AO295" s="1"/>
    </row>
    <row r="296" spans="41:41">
      <c r="AO296" s="1"/>
    </row>
    <row r="297" spans="41:41">
      <c r="AO297" s="1"/>
    </row>
    <row r="298" spans="41:41">
      <c r="AO298" s="1"/>
    </row>
    <row r="299" spans="41:41">
      <c r="AO299" s="1"/>
    </row>
    <row r="300" spans="41:41">
      <c r="AO300" s="1"/>
    </row>
    <row r="301" spans="41:41">
      <c r="AO301" s="1"/>
    </row>
    <row r="302" spans="41:41">
      <c r="AO302" s="1"/>
    </row>
    <row r="303" spans="41:41">
      <c r="AO303" s="1"/>
    </row>
    <row r="304" spans="41:41">
      <c r="AO304" s="1"/>
    </row>
    <row r="305" spans="41:41">
      <c r="AO305" s="1"/>
    </row>
    <row r="306" spans="41:41">
      <c r="AO306" s="1"/>
    </row>
    <row r="307" spans="41:41">
      <c r="AO307" s="1"/>
    </row>
    <row r="308" spans="41:41">
      <c r="AO308" s="1"/>
    </row>
    <row r="309" spans="41:41">
      <c r="AO309" s="1"/>
    </row>
    <row r="310" spans="41:41">
      <c r="AO310" s="1"/>
    </row>
    <row r="311" spans="41:41">
      <c r="AO311" s="1"/>
    </row>
    <row r="312" spans="41:41">
      <c r="AO312" s="1"/>
    </row>
    <row r="313" spans="41:41">
      <c r="AO313" s="1"/>
    </row>
    <row r="314" spans="41:41">
      <c r="AO314" s="1"/>
    </row>
    <row r="315" spans="41:41">
      <c r="AO315" s="1"/>
    </row>
    <row r="316" spans="41:41">
      <c r="AO316" s="1"/>
    </row>
    <row r="317" spans="41:41">
      <c r="AO317" s="1"/>
    </row>
    <row r="318" spans="41:41">
      <c r="AO318" s="1"/>
    </row>
    <row r="319" spans="41:41">
      <c r="AO319" s="1"/>
    </row>
    <row r="320" spans="41:41">
      <c r="AO320" s="1"/>
    </row>
    <row r="321" spans="41:41">
      <c r="AO321" s="1"/>
    </row>
    <row r="322" spans="41:41">
      <c r="AO322" s="1"/>
    </row>
    <row r="323" spans="41:41">
      <c r="AO323" s="1"/>
    </row>
    <row r="324" spans="41:41">
      <c r="AO324" s="1"/>
    </row>
    <row r="325" spans="41:41">
      <c r="AO325" s="1"/>
    </row>
    <row r="326" spans="41:41">
      <c r="AO326" s="1"/>
    </row>
    <row r="327" spans="41:41">
      <c r="AO327" s="1"/>
    </row>
    <row r="328" spans="41:41">
      <c r="AO328" s="1"/>
    </row>
    <row r="329" spans="41:41">
      <c r="AO329" s="1"/>
    </row>
    <row r="330" spans="41:41">
      <c r="AO330" s="1"/>
    </row>
    <row r="331" spans="41:41">
      <c r="AO331" s="1"/>
    </row>
    <row r="332" spans="41:41">
      <c r="AO332" s="1"/>
    </row>
    <row r="333" spans="41:41">
      <c r="AO333" s="1"/>
    </row>
    <row r="334" spans="41:41">
      <c r="AO334" s="1"/>
    </row>
    <row r="335" spans="41:41">
      <c r="AO335" s="1"/>
    </row>
    <row r="336" spans="41:41">
      <c r="AO336" s="1"/>
    </row>
    <row r="337" spans="41:41">
      <c r="AO337" s="1"/>
    </row>
    <row r="338" spans="41:41">
      <c r="AO338" s="1"/>
    </row>
    <row r="339" spans="41:41">
      <c r="AO339" s="1"/>
    </row>
    <row r="340" spans="41:41">
      <c r="AO340" s="1"/>
    </row>
    <row r="341" spans="41:41">
      <c r="AO341" s="1"/>
    </row>
    <row r="342" spans="41:41">
      <c r="AO342" s="1"/>
    </row>
    <row r="343" spans="41:41">
      <c r="AO343" s="1"/>
    </row>
    <row r="344" spans="41:41">
      <c r="AO344" s="1"/>
    </row>
    <row r="345" spans="41:41">
      <c r="AO345" s="1"/>
    </row>
    <row r="346" spans="41:41">
      <c r="AO346" s="1"/>
    </row>
    <row r="347" spans="41:41">
      <c r="AO347" s="1"/>
    </row>
    <row r="348" spans="41:41">
      <c r="AO348" s="1"/>
    </row>
    <row r="349" spans="41:41">
      <c r="AO349" s="1"/>
    </row>
    <row r="350" spans="41:41">
      <c r="AO350" s="1"/>
    </row>
    <row r="351" spans="41:41">
      <c r="AO351" s="1"/>
    </row>
    <row r="352" spans="41:41">
      <c r="AO352" s="1"/>
    </row>
    <row r="353" spans="41:41">
      <c r="AO353" s="1"/>
    </row>
    <row r="354" spans="41:41">
      <c r="AO354" s="1"/>
    </row>
    <row r="355" spans="41:41">
      <c r="AO355" s="1"/>
    </row>
    <row r="356" spans="41:41">
      <c r="AO356" s="1"/>
    </row>
    <row r="357" spans="41:41">
      <c r="AO357" s="1"/>
    </row>
    <row r="358" spans="41:41">
      <c r="AO358" s="1"/>
    </row>
    <row r="359" spans="41:41">
      <c r="AO359" s="1"/>
    </row>
    <row r="360" spans="41:41">
      <c r="AO360" s="1"/>
    </row>
    <row r="361" spans="41:41">
      <c r="AO361" s="1"/>
    </row>
    <row r="362" spans="41:41">
      <c r="AO362" s="1"/>
    </row>
    <row r="363" spans="41:41">
      <c r="AO363" s="1"/>
    </row>
    <row r="364" spans="41:41">
      <c r="AO364" s="1"/>
    </row>
    <row r="365" spans="41:41">
      <c r="AO365" s="1"/>
    </row>
    <row r="366" spans="41:41">
      <c r="AO366" s="1"/>
    </row>
    <row r="367" spans="41:41">
      <c r="AO367" s="1"/>
    </row>
    <row r="368" spans="41:41">
      <c r="AO368" s="1"/>
    </row>
    <row r="369" spans="41:41">
      <c r="AO369" s="1"/>
    </row>
    <row r="370" spans="41:41">
      <c r="AO370" s="1"/>
    </row>
    <row r="371" spans="41:41">
      <c r="AO371" s="1"/>
    </row>
    <row r="372" spans="41:41">
      <c r="AO372" s="1"/>
    </row>
    <row r="373" spans="41:41">
      <c r="AO373" s="1"/>
    </row>
    <row r="374" spans="41:41">
      <c r="AO374" s="1"/>
    </row>
    <row r="375" spans="41:41">
      <c r="AO375" s="1"/>
    </row>
    <row r="376" spans="41:41">
      <c r="AO376" s="1"/>
    </row>
    <row r="377" spans="41:41">
      <c r="AO377" s="1"/>
    </row>
    <row r="378" spans="41:41">
      <c r="AO378" s="1"/>
    </row>
    <row r="379" spans="41:41">
      <c r="AO379" s="1"/>
    </row>
    <row r="380" spans="41:41">
      <c r="AO380" s="1"/>
    </row>
    <row r="381" spans="41:41">
      <c r="AO381" s="1"/>
    </row>
    <row r="382" spans="41:41">
      <c r="AO382" s="1"/>
    </row>
    <row r="383" spans="41:41">
      <c r="AO383" s="1"/>
    </row>
    <row r="384" spans="41:41">
      <c r="AO384" s="1"/>
    </row>
    <row r="385" spans="41:41">
      <c r="AO385" s="1"/>
    </row>
  </sheetData>
  <sheetProtection algorithmName="SHA-512" hashValue="J6vS5ABzC07+1hqvaSZl2O+3hPtbcIRB75cCVB+hJL3offF/mhfbKFUNuUeiiFwDx27J0Xy6CATtaX6BWpu5Bg==" saltValue="Z4maDN3ZA39fZYATau9Vxg==" spinCount="100000" sheet="1" objects="1" scenarios="1"/>
  <mergeCells count="40">
    <mergeCell ref="AF10:AF11"/>
    <mergeCell ref="AK10:AK13"/>
    <mergeCell ref="AL10:AL13"/>
    <mergeCell ref="AM10:AM13"/>
    <mergeCell ref="Z12:AA12"/>
    <mergeCell ref="AC10:AC11"/>
    <mergeCell ref="AD10:AD11"/>
    <mergeCell ref="AG12:AI12"/>
    <mergeCell ref="B8:C8"/>
    <mergeCell ref="Y10:Y11"/>
    <mergeCell ref="Z10:Z11"/>
    <mergeCell ref="AA10:AA11"/>
    <mergeCell ref="AB10:AB11"/>
    <mergeCell ref="S10:S11"/>
    <mergeCell ref="T10:T11"/>
    <mergeCell ref="U10:U11"/>
    <mergeCell ref="V10:V11"/>
    <mergeCell ref="W10:W11"/>
    <mergeCell ref="X10:X11"/>
    <mergeCell ref="X8:AB8"/>
    <mergeCell ref="P10:P11"/>
    <mergeCell ref="Q10:Q11"/>
    <mergeCell ref="R10:R11"/>
    <mergeCell ref="E7:E8"/>
    <mergeCell ref="B9:D12"/>
    <mergeCell ref="E10:E12"/>
    <mergeCell ref="F10:F11"/>
    <mergeCell ref="N10:N11"/>
    <mergeCell ref="O10:O11"/>
    <mergeCell ref="AK7:AM7"/>
    <mergeCell ref="F8:M8"/>
    <mergeCell ref="N8:P8"/>
    <mergeCell ref="Q8:U8"/>
    <mergeCell ref="V8:W8"/>
    <mergeCell ref="AE8:AF8"/>
    <mergeCell ref="V7:AB7"/>
    <mergeCell ref="AC7:AF7"/>
    <mergeCell ref="F7:U7"/>
    <mergeCell ref="AG7:AI7"/>
    <mergeCell ref="AG8:AI8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5E61-126D-7941-8AB9-064BB1FA2442}">
  <sheetPr codeName="Sheet12"/>
  <dimension ref="B1:HI110"/>
  <sheetViews>
    <sheetView zoomScale="120" zoomScaleNormal="120" workbookViewId="0">
      <selection activeCell="J114" activeCellId="1" sqref="D114 J114"/>
    </sheetView>
  </sheetViews>
  <sheetFormatPr defaultColWidth="10.875" defaultRowHeight="14.1"/>
  <cols>
    <col min="1" max="1" width="8.5" style="8" customWidth="1"/>
    <col min="2" max="2" width="30.125" style="8" customWidth="1"/>
    <col min="3" max="3" width="18.375" style="8" bestFit="1" customWidth="1"/>
    <col min="4" max="4" width="13.625" style="8" bestFit="1" customWidth="1"/>
    <col min="5" max="5" width="13.375" style="8" bestFit="1" customWidth="1"/>
    <col min="6" max="6" width="13.625" style="8" bestFit="1" customWidth="1"/>
    <col min="7" max="7" width="13.375" style="8" bestFit="1" customWidth="1"/>
    <col min="8" max="8" width="12.625" style="8" bestFit="1" customWidth="1"/>
    <col min="9" max="9" width="13" style="8" bestFit="1" customWidth="1"/>
    <col min="10" max="10" width="14.375" style="8" bestFit="1" customWidth="1"/>
    <col min="11" max="190" width="50.125" style="8" bestFit="1" customWidth="1"/>
    <col min="191" max="191" width="22.875" style="8" bestFit="1" customWidth="1"/>
    <col min="192" max="192" width="29.875" style="8" bestFit="1" customWidth="1"/>
    <col min="193" max="193" width="33" style="8" bestFit="1" customWidth="1"/>
    <col min="194" max="194" width="31.125" style="8" bestFit="1" customWidth="1"/>
    <col min="195" max="195" width="40.5" style="8" bestFit="1" customWidth="1"/>
    <col min="196" max="196" width="37" style="8" bestFit="1" customWidth="1"/>
    <col min="197" max="197" width="45.625" style="8" bestFit="1" customWidth="1"/>
    <col min="198" max="198" width="42.375" style="8" bestFit="1" customWidth="1"/>
    <col min="199" max="199" width="19.625" style="8" bestFit="1" customWidth="1"/>
    <col min="200" max="200" width="26.375" style="8" bestFit="1" customWidth="1"/>
    <col min="201" max="201" width="33.625" style="8" bestFit="1" customWidth="1"/>
    <col min="202" max="202" width="44.125" style="8" bestFit="1" customWidth="1"/>
    <col min="203" max="203" width="47.375" style="8" bestFit="1" customWidth="1"/>
    <col min="204" max="204" width="55.375" style="8" bestFit="1" customWidth="1"/>
    <col min="205" max="205" width="56" style="8" bestFit="1" customWidth="1"/>
    <col min="206" max="206" width="44.5" style="8" bestFit="1" customWidth="1"/>
    <col min="207" max="207" width="34.125" style="8" bestFit="1" customWidth="1"/>
    <col min="208" max="208" width="33.375" style="8" bestFit="1" customWidth="1"/>
    <col min="209" max="209" width="30.875" style="8" bestFit="1" customWidth="1"/>
    <col min="210" max="210" width="33.875" style="8" bestFit="1" customWidth="1"/>
    <col min="211" max="211" width="41.875" style="8" bestFit="1" customWidth="1"/>
    <col min="212" max="212" width="42.625" style="8" bestFit="1" customWidth="1"/>
    <col min="213" max="213" width="31.125" style="8" bestFit="1" customWidth="1"/>
    <col min="214" max="215" width="19.625" style="8" bestFit="1" customWidth="1"/>
    <col min="216" max="216" width="32.125" style="8" bestFit="1" customWidth="1"/>
    <col min="217" max="217" width="37.375" style="8" bestFit="1" customWidth="1"/>
    <col min="218" max="16384" width="10.875" style="8"/>
  </cols>
  <sheetData>
    <row r="1" spans="2:11" ht="36" customHeight="1"/>
    <row r="2" spans="2:11" ht="27.95">
      <c r="B2" s="10" t="s">
        <v>413</v>
      </c>
    </row>
    <row r="3" spans="2:11" ht="6.95" customHeight="1">
      <c r="B3" s="700" t="s">
        <v>12</v>
      </c>
      <c r="C3" s="700"/>
      <c r="D3" s="700"/>
      <c r="E3" s="700"/>
      <c r="F3" s="700"/>
      <c r="G3" s="700"/>
      <c r="H3" s="700"/>
      <c r="I3" s="700"/>
      <c r="J3" s="700"/>
      <c r="K3" s="700"/>
    </row>
    <row r="4" spans="2:11">
      <c r="B4" s="11" t="s">
        <v>414</v>
      </c>
    </row>
    <row r="6" spans="2:11">
      <c r="B6" s="11"/>
    </row>
    <row r="7" spans="2:11">
      <c r="B7" s="11"/>
    </row>
    <row r="8" spans="2:11">
      <c r="B8" s="8" t="s">
        <v>415</v>
      </c>
    </row>
    <row r="9" spans="2:11">
      <c r="B9" s="11" t="s">
        <v>416</v>
      </c>
    </row>
    <row r="10" spans="2:11" ht="15.95" customHeight="1">
      <c r="B10" s="8" t="s">
        <v>417</v>
      </c>
    </row>
    <row r="13" spans="2:11" ht="15" customHeight="1">
      <c r="B13" s="8" t="s">
        <v>418</v>
      </c>
    </row>
    <row r="14" spans="2:11" ht="15" customHeight="1">
      <c r="B14" s="8" t="s">
        <v>419</v>
      </c>
    </row>
    <row r="15" spans="2:11" ht="15" customHeight="1"/>
    <row r="17" spans="2:2">
      <c r="B17" s="8" t="s">
        <v>420</v>
      </c>
    </row>
    <row r="23" spans="2:2" ht="15" customHeight="1"/>
    <row r="24" spans="2:2">
      <c r="B24" s="8" t="s">
        <v>421</v>
      </c>
    </row>
    <row r="25" spans="2:2">
      <c r="B25" s="8" t="s">
        <v>422</v>
      </c>
    </row>
    <row r="26" spans="2:2">
      <c r="B26" s="8" t="s">
        <v>423</v>
      </c>
    </row>
    <row r="28" spans="2:2">
      <c r="B28" s="8" t="s">
        <v>424</v>
      </c>
    </row>
    <row r="29" spans="2:2">
      <c r="B29" s="8" t="s">
        <v>425</v>
      </c>
    </row>
    <row r="30" spans="2:2">
      <c r="B30" s="8" t="s">
        <v>426</v>
      </c>
    </row>
    <row r="31" spans="2:2">
      <c r="B31" s="8" t="s">
        <v>427</v>
      </c>
    </row>
    <row r="44" spans="2:7">
      <c r="B44" s="8" t="s">
        <v>428</v>
      </c>
    </row>
    <row r="45" spans="2:7" ht="27.95">
      <c r="B45" s="8" t="s">
        <v>429</v>
      </c>
      <c r="G45" s="165"/>
    </row>
    <row r="49" spans="2:3">
      <c r="B49" s="8" t="s">
        <v>430</v>
      </c>
    </row>
    <row r="50" spans="2:3">
      <c r="B50" s="8" t="s">
        <v>431</v>
      </c>
    </row>
    <row r="62" spans="2:3">
      <c r="B62" s="8" t="s">
        <v>432</v>
      </c>
    </row>
    <row r="64" spans="2:3">
      <c r="B64" s="125" t="s">
        <v>433</v>
      </c>
      <c r="C64" s="125"/>
    </row>
    <row r="65" spans="2:5">
      <c r="C65" s="855" t="str">
        <f>'ZERO-B Beregning'!G23</f>
        <v>Bygget samlet</v>
      </c>
      <c r="D65" s="856"/>
    </row>
    <row r="66" spans="2:5">
      <c r="B66" s="135" t="s">
        <v>434</v>
      </c>
      <c r="C66" s="150">
        <f>'ZERO-B Beregning'!G28</f>
        <v>341</v>
      </c>
      <c r="D66" s="147" t="str">
        <f>'ZERO-B Beregning'!H28</f>
        <v>kgCO2e/m2</v>
      </c>
    </row>
    <row r="67" spans="2:5">
      <c r="B67" s="146" t="s">
        <v>435</v>
      </c>
      <c r="C67" s="151">
        <f>'ZERO-B Beregning'!G27</f>
        <v>186</v>
      </c>
      <c r="D67" s="148" t="str">
        <f>'ZERO-B Beregning'!H27</f>
        <v>kgCO2e/m2</v>
      </c>
    </row>
    <row r="68" spans="2:5">
      <c r="B68" s="137" t="s">
        <v>436</v>
      </c>
      <c r="C68" s="152">
        <f>'ZERO-B Beregning'!G26</f>
        <v>190</v>
      </c>
      <c r="D68" s="149" t="str">
        <f>'ZERO-B Beregning'!H26</f>
        <v>kgCO2e/m2</v>
      </c>
    </row>
    <row r="70" spans="2:5">
      <c r="B70" s="8" t="s">
        <v>437</v>
      </c>
    </row>
    <row r="72" spans="2:5">
      <c r="B72" s="136"/>
      <c r="C72" s="135" t="s">
        <v>229</v>
      </c>
      <c r="D72" s="153" t="s">
        <v>374</v>
      </c>
    </row>
    <row r="73" spans="2:5">
      <c r="B73" s="142" t="s">
        <v>438</v>
      </c>
      <c r="C73" s="154">
        <f>'ZERO-B Resultat'!C73*'ZERO-B Beregning'!G25</f>
        <v>0</v>
      </c>
      <c r="D73" s="155">
        <f>'ZERO-B Resultat'!C79*'ZERO-B Beregning'!G25</f>
        <v>0</v>
      </c>
      <c r="E73" s="147" t="s">
        <v>439</v>
      </c>
    </row>
    <row r="74" spans="2:5">
      <c r="B74" s="142" t="s">
        <v>440</v>
      </c>
      <c r="C74" s="158"/>
      <c r="D74" s="133">
        <f>'ZERO-B Resultat'!C80*'ZERO-B Beregning'!G25</f>
        <v>0</v>
      </c>
      <c r="E74" s="148" t="s">
        <v>439</v>
      </c>
    </row>
    <row r="75" spans="2:5">
      <c r="B75" s="142" t="s">
        <v>120</v>
      </c>
      <c r="C75" s="134">
        <f>'ZERO-B Resultat'!C74*'ZERO-B Beregning'!G25</f>
        <v>0</v>
      </c>
      <c r="D75" s="133">
        <f>'ZERO-B Resultat'!C81*'ZERO-B Beregning'!G25</f>
        <v>0</v>
      </c>
      <c r="E75" s="148" t="s">
        <v>439</v>
      </c>
    </row>
    <row r="76" spans="2:5">
      <c r="B76" s="142" t="s">
        <v>441</v>
      </c>
      <c r="C76" s="158"/>
      <c r="D76" s="159"/>
      <c r="E76" s="148" t="s">
        <v>439</v>
      </c>
    </row>
    <row r="77" spans="2:5">
      <c r="B77" s="142" t="s">
        <v>123</v>
      </c>
      <c r="C77" s="158"/>
      <c r="D77" s="159"/>
      <c r="E77" s="148" t="s">
        <v>439</v>
      </c>
    </row>
    <row r="78" spans="2:5">
      <c r="B78" s="143" t="s">
        <v>143</v>
      </c>
      <c r="C78" s="156">
        <f>'ZERO-B Resultat'!C75*'ZERO-B Beregning'!G25</f>
        <v>0</v>
      </c>
      <c r="D78" s="157"/>
      <c r="E78" s="149" t="s">
        <v>439</v>
      </c>
    </row>
    <row r="81" spans="2:217">
      <c r="B81" s="8" t="s">
        <v>442</v>
      </c>
    </row>
    <row r="82" spans="2:217" ht="15">
      <c r="B82" s="400"/>
      <c r="C82" s="423" t="s">
        <v>443</v>
      </c>
      <c r="D82" s="423"/>
      <c r="E82" s="423"/>
      <c r="F82" s="423"/>
      <c r="G82" s="423"/>
      <c r="H82" s="423"/>
      <c r="I82" s="423"/>
      <c r="J82" s="15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</row>
    <row r="83" spans="2:217" ht="15">
      <c r="B83" s="142" t="s">
        <v>444</v>
      </c>
      <c r="C83" s="424">
        <v>0</v>
      </c>
      <c r="D83" s="424">
        <v>211</v>
      </c>
      <c r="E83" s="424">
        <v>212</v>
      </c>
      <c r="F83" s="424">
        <v>213</v>
      </c>
      <c r="G83" s="424">
        <v>214</v>
      </c>
      <c r="H83" s="424">
        <v>215</v>
      </c>
      <c r="I83" s="424">
        <v>490</v>
      </c>
      <c r="J83" s="425" t="s">
        <v>324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</row>
    <row r="84" spans="2:217" ht="15">
      <c r="B84" s="426" t="s">
        <v>445</v>
      </c>
      <c r="C84" s="8">
        <v>0</v>
      </c>
      <c r="D84" s="427">
        <v>10000</v>
      </c>
      <c r="E84" s="427">
        <v>3000</v>
      </c>
      <c r="F84" s="427">
        <v>10000</v>
      </c>
      <c r="G84" s="427">
        <v>3000</v>
      </c>
      <c r="H84" s="427">
        <v>3000</v>
      </c>
      <c r="I84" s="427">
        <v>3000</v>
      </c>
      <c r="J84" s="428">
        <v>32000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</row>
    <row r="85" spans="2:217" ht="15">
      <c r="B85" s="426" t="s">
        <v>446</v>
      </c>
      <c r="C85" s="8">
        <v>0</v>
      </c>
      <c r="D85" s="427">
        <v>0</v>
      </c>
      <c r="E85" s="427">
        <v>0</v>
      </c>
      <c r="F85" s="427">
        <v>-8000</v>
      </c>
      <c r="G85" s="427">
        <v>-2400</v>
      </c>
      <c r="H85" s="427">
        <v>0</v>
      </c>
      <c r="I85" s="427">
        <v>0</v>
      </c>
      <c r="J85" s="428">
        <v>-10400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</row>
    <row r="86" spans="2:217" ht="15">
      <c r="B86" s="426" t="s">
        <v>447</v>
      </c>
      <c r="C86" s="8">
        <v>0</v>
      </c>
      <c r="D86" s="427">
        <v>0</v>
      </c>
      <c r="E86" s="427">
        <v>0</v>
      </c>
      <c r="F86" s="427">
        <v>0</v>
      </c>
      <c r="G86" s="427">
        <v>0</v>
      </c>
      <c r="H86" s="427">
        <v>0</v>
      </c>
      <c r="I86" s="427">
        <v>0</v>
      </c>
      <c r="J86" s="428">
        <v>0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2:217" ht="15">
      <c r="B87" s="426" t="s">
        <v>448</v>
      </c>
      <c r="C87" s="8">
        <v>0</v>
      </c>
      <c r="D87" s="427">
        <v>0</v>
      </c>
      <c r="E87" s="427">
        <v>0</v>
      </c>
      <c r="F87" s="427">
        <v>0</v>
      </c>
      <c r="G87" s="427">
        <v>0</v>
      </c>
      <c r="H87" s="427">
        <v>0</v>
      </c>
      <c r="I87" s="427">
        <v>0</v>
      </c>
      <c r="J87" s="428">
        <v>0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2:217" ht="15">
      <c r="B88" s="426" t="s">
        <v>449</v>
      </c>
      <c r="C88" s="8">
        <v>0</v>
      </c>
      <c r="D88" s="427">
        <v>0</v>
      </c>
      <c r="E88" s="427">
        <v>0</v>
      </c>
      <c r="F88" s="427">
        <v>0</v>
      </c>
      <c r="G88" s="427">
        <v>0</v>
      </c>
      <c r="H88" s="427">
        <v>0</v>
      </c>
      <c r="I88" s="427">
        <v>0</v>
      </c>
      <c r="J88" s="428">
        <v>0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2:217" ht="15">
      <c r="B89" s="426" t="s">
        <v>450</v>
      </c>
      <c r="C89" s="8">
        <v>0</v>
      </c>
      <c r="D89" s="427">
        <v>0</v>
      </c>
      <c r="E89" s="427">
        <v>0</v>
      </c>
      <c r="F89" s="427">
        <v>0</v>
      </c>
      <c r="G89" s="427">
        <v>0</v>
      </c>
      <c r="H89" s="427">
        <v>0</v>
      </c>
      <c r="I89" s="427">
        <v>0</v>
      </c>
      <c r="J89" s="428">
        <v>0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2:217" ht="15">
      <c r="B90" s="426" t="s">
        <v>451</v>
      </c>
      <c r="C90" s="8">
        <v>0</v>
      </c>
      <c r="D90" s="427">
        <v>0</v>
      </c>
      <c r="E90" s="427">
        <v>0</v>
      </c>
      <c r="F90" s="427">
        <v>0</v>
      </c>
      <c r="G90" s="427">
        <v>0</v>
      </c>
      <c r="H90" s="427">
        <v>0</v>
      </c>
      <c r="I90" s="427">
        <v>0</v>
      </c>
      <c r="J90" s="428">
        <v>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2:217">
      <c r="B91" s="426" t="s">
        <v>452</v>
      </c>
      <c r="C91" s="8">
        <v>0</v>
      </c>
      <c r="D91" s="427">
        <v>0</v>
      </c>
      <c r="E91" s="427">
        <v>0</v>
      </c>
      <c r="F91" s="427">
        <v>0</v>
      </c>
      <c r="G91" s="427">
        <v>0</v>
      </c>
      <c r="H91" s="427">
        <v>0</v>
      </c>
      <c r="I91" s="427">
        <v>0</v>
      </c>
      <c r="J91" s="428">
        <v>0</v>
      </c>
    </row>
    <row r="92" spans="2:217">
      <c r="B92" s="426" t="s">
        <v>453</v>
      </c>
      <c r="C92" s="8">
        <v>0</v>
      </c>
      <c r="D92" s="427">
        <v>300</v>
      </c>
      <c r="E92" s="427">
        <v>300</v>
      </c>
      <c r="F92" s="427">
        <v>300</v>
      </c>
      <c r="G92" s="427">
        <v>300</v>
      </c>
      <c r="H92" s="427">
        <v>300</v>
      </c>
      <c r="I92" s="427">
        <v>300</v>
      </c>
      <c r="J92" s="428">
        <v>1800</v>
      </c>
    </row>
    <row r="93" spans="2:217">
      <c r="B93" s="426" t="s">
        <v>454</v>
      </c>
      <c r="C93" s="8">
        <v>0</v>
      </c>
      <c r="D93" s="427">
        <v>0</v>
      </c>
      <c r="E93" s="427">
        <v>0</v>
      </c>
      <c r="F93" s="427">
        <v>0</v>
      </c>
      <c r="G93" s="427">
        <v>0</v>
      </c>
      <c r="H93" s="427">
        <v>0</v>
      </c>
      <c r="I93" s="427">
        <v>0</v>
      </c>
      <c r="J93" s="428">
        <v>0</v>
      </c>
    </row>
    <row r="94" spans="2:217">
      <c r="B94" s="426" t="s">
        <v>455</v>
      </c>
      <c r="C94" s="8">
        <v>0</v>
      </c>
      <c r="D94" s="427">
        <v>0</v>
      </c>
      <c r="E94" s="427">
        <v>0</v>
      </c>
      <c r="F94" s="427">
        <v>0</v>
      </c>
      <c r="G94" s="427">
        <v>0</v>
      </c>
      <c r="H94" s="427">
        <v>0</v>
      </c>
      <c r="I94" s="427">
        <v>0</v>
      </c>
      <c r="J94" s="428">
        <v>0</v>
      </c>
    </row>
    <row r="95" spans="2:217">
      <c r="B95" s="426" t="s">
        <v>456</v>
      </c>
      <c r="C95" s="8">
        <v>0</v>
      </c>
      <c r="D95" s="427">
        <v>1000</v>
      </c>
      <c r="E95" s="427">
        <v>300</v>
      </c>
      <c r="F95" s="427">
        <v>200</v>
      </c>
      <c r="G95" s="427">
        <v>60</v>
      </c>
      <c r="H95" s="427">
        <v>300</v>
      </c>
      <c r="I95" s="427">
        <v>300</v>
      </c>
      <c r="J95" s="428">
        <v>2160</v>
      </c>
    </row>
    <row r="96" spans="2:217">
      <c r="B96" s="426" t="s">
        <v>457</v>
      </c>
      <c r="C96" s="8">
        <v>0</v>
      </c>
      <c r="D96" s="427">
        <v>0</v>
      </c>
      <c r="E96" s="427">
        <v>0</v>
      </c>
      <c r="F96" s="427">
        <v>0</v>
      </c>
      <c r="G96" s="427">
        <v>0</v>
      </c>
      <c r="H96" s="427">
        <v>0</v>
      </c>
      <c r="I96" s="427">
        <v>0</v>
      </c>
      <c r="J96" s="428">
        <v>0</v>
      </c>
    </row>
    <row r="97" spans="2:10">
      <c r="B97" s="426" t="s">
        <v>458</v>
      </c>
      <c r="C97" s="8">
        <v>0</v>
      </c>
      <c r="D97" s="427">
        <v>30</v>
      </c>
      <c r="E97" s="427">
        <v>30</v>
      </c>
      <c r="F97" s="427">
        <v>30</v>
      </c>
      <c r="G97" s="427">
        <v>30</v>
      </c>
      <c r="H97" s="427">
        <v>30</v>
      </c>
      <c r="I97" s="427">
        <v>30</v>
      </c>
      <c r="J97" s="428">
        <v>180</v>
      </c>
    </row>
    <row r="98" spans="2:10">
      <c r="B98" s="426" t="s">
        <v>459</v>
      </c>
      <c r="C98" s="8">
        <v>0</v>
      </c>
      <c r="D98" s="427">
        <v>83</v>
      </c>
      <c r="E98" s="427">
        <v>41.5</v>
      </c>
      <c r="F98" s="427">
        <v>83</v>
      </c>
      <c r="G98" s="427">
        <v>83</v>
      </c>
      <c r="H98" s="427">
        <v>83</v>
      </c>
      <c r="I98" s="427">
        <v>83</v>
      </c>
      <c r="J98" s="428">
        <v>456.5</v>
      </c>
    </row>
    <row r="99" spans="2:10">
      <c r="B99" s="426" t="s">
        <v>460</v>
      </c>
      <c r="C99" s="8">
        <v>0</v>
      </c>
      <c r="D99" s="427">
        <v>0</v>
      </c>
      <c r="E99" s="427">
        <v>2291.2500000000005</v>
      </c>
      <c r="F99" s="427">
        <v>0</v>
      </c>
      <c r="G99" s="427">
        <v>4582.5000000000009</v>
      </c>
      <c r="H99" s="427">
        <v>3054.6945000000005</v>
      </c>
      <c r="I99" s="427">
        <v>0</v>
      </c>
      <c r="J99" s="428">
        <v>9928.4445000000014</v>
      </c>
    </row>
    <row r="100" spans="2:10">
      <c r="B100" s="426" t="s">
        <v>461</v>
      </c>
      <c r="C100" s="8">
        <v>0</v>
      </c>
      <c r="D100" s="427">
        <v>0</v>
      </c>
      <c r="E100" s="427">
        <v>-1440</v>
      </c>
      <c r="F100" s="427">
        <v>0</v>
      </c>
      <c r="G100" s="427">
        <v>-276</v>
      </c>
      <c r="H100" s="427">
        <v>-840.00000000000011</v>
      </c>
      <c r="I100" s="427">
        <v>0</v>
      </c>
      <c r="J100" s="428">
        <v>-2556</v>
      </c>
    </row>
    <row r="101" spans="2:10">
      <c r="B101" s="426" t="s">
        <v>462</v>
      </c>
      <c r="C101" s="8">
        <v>0</v>
      </c>
      <c r="D101" s="427">
        <v>0</v>
      </c>
      <c r="E101" s="427">
        <v>0</v>
      </c>
      <c r="F101" s="427">
        <v>0</v>
      </c>
      <c r="G101" s="427">
        <v>0</v>
      </c>
      <c r="H101" s="427">
        <v>0</v>
      </c>
      <c r="I101" s="427">
        <v>0</v>
      </c>
      <c r="J101" s="428">
        <v>0</v>
      </c>
    </row>
    <row r="102" spans="2:10">
      <c r="B102" s="426" t="s">
        <v>463</v>
      </c>
      <c r="C102" s="8">
        <v>0</v>
      </c>
      <c r="D102" s="427">
        <v>0</v>
      </c>
      <c r="E102" s="427">
        <v>1253.1694951004379</v>
      </c>
      <c r="F102" s="427">
        <v>0</v>
      </c>
      <c r="G102" s="427">
        <v>0</v>
      </c>
      <c r="H102" s="427">
        <v>0</v>
      </c>
      <c r="I102" s="427">
        <v>557.48255823996044</v>
      </c>
      <c r="J102" s="428">
        <v>1810.6520533403982</v>
      </c>
    </row>
    <row r="103" spans="2:10">
      <c r="B103" s="426" t="s">
        <v>464</v>
      </c>
      <c r="C103" s="8">
        <v>0</v>
      </c>
      <c r="D103" s="427">
        <v>0</v>
      </c>
      <c r="E103" s="427">
        <v>0</v>
      </c>
      <c r="F103" s="427">
        <v>0</v>
      </c>
      <c r="G103" s="427">
        <v>0</v>
      </c>
      <c r="H103" s="427">
        <v>0</v>
      </c>
      <c r="I103" s="427">
        <v>0</v>
      </c>
      <c r="J103" s="428">
        <v>0</v>
      </c>
    </row>
    <row r="104" spans="2:10">
      <c r="B104" s="426" t="s">
        <v>465</v>
      </c>
      <c r="C104" s="8">
        <v>0</v>
      </c>
      <c r="D104" s="427">
        <v>0</v>
      </c>
      <c r="E104" s="427">
        <v>125.31694951004377</v>
      </c>
      <c r="F104" s="427">
        <v>0</v>
      </c>
      <c r="G104" s="427">
        <v>0</v>
      </c>
      <c r="H104" s="427">
        <v>0</v>
      </c>
      <c r="I104" s="427">
        <v>55.748255823996033</v>
      </c>
      <c r="J104" s="428">
        <v>181.0652053340398</v>
      </c>
    </row>
    <row r="105" spans="2:10">
      <c r="B105" s="426" t="s">
        <v>466</v>
      </c>
      <c r="C105" s="8">
        <v>0</v>
      </c>
      <c r="D105" s="427">
        <v>0</v>
      </c>
      <c r="E105" s="427">
        <v>173.35511348889392</v>
      </c>
      <c r="F105" s="427">
        <v>0</v>
      </c>
      <c r="G105" s="427">
        <v>0</v>
      </c>
      <c r="H105" s="427">
        <v>0</v>
      </c>
      <c r="I105" s="427">
        <v>154.23684111305573</v>
      </c>
      <c r="J105" s="428">
        <v>327.59195460194962</v>
      </c>
    </row>
    <row r="106" spans="2:10">
      <c r="B106" s="426" t="s">
        <v>467</v>
      </c>
      <c r="C106" s="8">
        <v>0</v>
      </c>
      <c r="D106" s="427">
        <v>0</v>
      </c>
      <c r="E106" s="427">
        <v>9571.0820188295947</v>
      </c>
      <c r="F106" s="427">
        <v>0</v>
      </c>
      <c r="G106" s="427">
        <v>0</v>
      </c>
      <c r="H106" s="427">
        <v>0</v>
      </c>
      <c r="I106" s="427">
        <v>0</v>
      </c>
      <c r="J106" s="428">
        <v>9571.0820188295947</v>
      </c>
    </row>
    <row r="107" spans="2:10">
      <c r="B107" s="426" t="s">
        <v>468</v>
      </c>
      <c r="C107" s="8">
        <v>0</v>
      </c>
      <c r="D107" s="427">
        <v>76.462723256941743</v>
      </c>
      <c r="E107" s="427">
        <v>38.231361628470871</v>
      </c>
      <c r="F107" s="427">
        <v>76.462723256941743</v>
      </c>
      <c r="G107" s="427">
        <v>76.462723256941743</v>
      </c>
      <c r="H107" s="427">
        <v>76.462723256941743</v>
      </c>
      <c r="I107" s="427">
        <v>76.462723256941743</v>
      </c>
      <c r="J107" s="428">
        <v>420.54497791317954</v>
      </c>
    </row>
    <row r="108" spans="2:10">
      <c r="B108" s="426" t="s">
        <v>469</v>
      </c>
      <c r="C108" s="8">
        <v>0</v>
      </c>
      <c r="D108" s="427">
        <v>0</v>
      </c>
      <c r="E108" s="427">
        <v>385.60577363511965</v>
      </c>
      <c r="F108" s="427">
        <v>0</v>
      </c>
      <c r="G108" s="427">
        <v>771.21154727023929</v>
      </c>
      <c r="H108" s="427">
        <v>514.08961741034148</v>
      </c>
      <c r="I108" s="427">
        <v>0</v>
      </c>
      <c r="J108" s="428">
        <v>1670.9069383157002</v>
      </c>
    </row>
    <row r="109" spans="2:10">
      <c r="B109" s="426" t="s">
        <v>470</v>
      </c>
      <c r="C109" s="8">
        <v>0</v>
      </c>
      <c r="D109" s="427">
        <v>-160.00000000000003</v>
      </c>
      <c r="E109" s="427">
        <v>-278.12748910026227</v>
      </c>
      <c r="F109" s="427">
        <v>-160.00000000000003</v>
      </c>
      <c r="G109" s="427">
        <v>-48.000000000000007</v>
      </c>
      <c r="H109" s="427">
        <v>-48.000000000000007</v>
      </c>
      <c r="I109" s="427">
        <v>-234.62758234134793</v>
      </c>
      <c r="J109" s="428">
        <v>-928.7550714416102</v>
      </c>
    </row>
    <row r="110" spans="2:10">
      <c r="B110" s="429" t="s">
        <v>471</v>
      </c>
      <c r="C110" s="163">
        <v>0</v>
      </c>
      <c r="D110" s="430">
        <v>-15</v>
      </c>
      <c r="E110" s="430">
        <v>-27.000088662030578</v>
      </c>
      <c r="F110" s="430">
        <v>-15</v>
      </c>
      <c r="G110" s="430">
        <v>-4.5</v>
      </c>
      <c r="H110" s="430">
        <v>-4.5</v>
      </c>
      <c r="I110" s="430">
        <v>-25.041035001468682</v>
      </c>
      <c r="J110" s="431">
        <v>-91.041123663499263</v>
      </c>
    </row>
  </sheetData>
  <sheetProtection algorithmName="SHA-512" hashValue="MmI4HclFVs6E3/yRpGO/E7ZbIcwVOan/Cd9VUCkRqrve23Wt6p0F+Z1PhQZ9mpwcI7fCnVay/rHVD8w/pd+n6A==" saltValue="P+v1zcz/Hnohu6splyOWwg==" spinCount="100000" sheet="1" objects="1" scenarios="1"/>
  <mergeCells count="2">
    <mergeCell ref="C65:D65"/>
    <mergeCell ref="B3:K3"/>
  </mergeCells>
  <pageMargins left="0.7" right="0.7" top="0.75" bottom="0.75" header="0.3" footer="0.3"/>
  <headerFooter>
    <oddFooter>&amp;C_x000D_&amp;1#&amp;"Verdana"&amp;7&amp;K000000 Confidential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4B4A-27FB-754F-881B-52343C1F0679}">
  <sheetPr codeName="Sheet13"/>
  <dimension ref="B3:AS158"/>
  <sheetViews>
    <sheetView zoomScaleNormal="100" workbookViewId="0">
      <selection activeCell="B5" sqref="B5"/>
    </sheetView>
  </sheetViews>
  <sheetFormatPr defaultColWidth="10.875" defaultRowHeight="15"/>
  <cols>
    <col min="1" max="1" width="5.5" style="1" customWidth="1"/>
    <col min="2" max="14" width="10.5" style="1" customWidth="1"/>
    <col min="15" max="15" width="11.125" style="1" customWidth="1"/>
    <col min="16" max="38" width="10.5" style="1" customWidth="1"/>
    <col min="39" max="39" width="12.5" style="1" customWidth="1"/>
    <col min="40" max="40" width="13.5" style="1" customWidth="1"/>
    <col min="41" max="41" width="15.5" style="1" customWidth="1"/>
    <col min="42" max="45" width="10.5" style="1" customWidth="1"/>
    <col min="46" max="16384" width="10.875" style="1"/>
  </cols>
  <sheetData>
    <row r="3" spans="2:44" ht="27.95">
      <c r="B3" s="10" t="s">
        <v>472</v>
      </c>
    </row>
    <row r="4" spans="2:44" ht="8.1" customHeight="1">
      <c r="B4" s="10"/>
    </row>
    <row r="5" spans="2:44">
      <c r="B5" s="1" t="s">
        <v>473</v>
      </c>
    </row>
    <row r="6" spans="2:44">
      <c r="B6" s="1" t="s">
        <v>474</v>
      </c>
    </row>
    <row r="7" spans="2:44">
      <c r="B7" s="1" t="s">
        <v>475</v>
      </c>
    </row>
    <row r="8" spans="2:44">
      <c r="B8" s="1" t="s">
        <v>476</v>
      </c>
    </row>
    <row r="9" spans="2:44">
      <c r="B9" s="1" t="s">
        <v>477</v>
      </c>
    </row>
    <row r="10" spans="2:44" ht="15.95">
      <c r="B10" s="1" t="s">
        <v>478</v>
      </c>
    </row>
    <row r="13" spans="2:44" ht="21">
      <c r="B13" s="94" t="s">
        <v>479</v>
      </c>
    </row>
    <row r="14" spans="2:44">
      <c r="B14" s="31"/>
      <c r="C14" s="858" t="s">
        <v>480</v>
      </c>
      <c r="D14" s="859"/>
      <c r="E14" s="859"/>
      <c r="F14" s="858" t="s">
        <v>481</v>
      </c>
      <c r="G14" s="859"/>
      <c r="H14" s="860"/>
      <c r="I14" s="858" t="s">
        <v>482</v>
      </c>
      <c r="J14" s="859"/>
      <c r="K14" s="860"/>
      <c r="L14" s="858" t="s">
        <v>483</v>
      </c>
      <c r="M14" s="859"/>
      <c r="N14" s="860"/>
      <c r="O14" s="858" t="s">
        <v>484</v>
      </c>
      <c r="P14" s="859"/>
      <c r="Q14" s="860"/>
      <c r="R14" s="858" t="s">
        <v>80</v>
      </c>
      <c r="S14" s="859"/>
      <c r="T14" s="860"/>
      <c r="U14" s="858" t="s">
        <v>485</v>
      </c>
      <c r="V14" s="859"/>
      <c r="W14" s="860"/>
      <c r="X14" s="858" t="s">
        <v>486</v>
      </c>
      <c r="Y14" s="859"/>
      <c r="Z14" s="859"/>
      <c r="AA14" s="858" t="s">
        <v>487</v>
      </c>
      <c r="AB14" s="859"/>
      <c r="AC14" s="860"/>
      <c r="AD14" s="858" t="s">
        <v>488</v>
      </c>
      <c r="AE14" s="859"/>
      <c r="AF14" s="860"/>
      <c r="AG14" s="858" t="s">
        <v>489</v>
      </c>
      <c r="AH14" s="859"/>
      <c r="AI14" s="860"/>
      <c r="AJ14" s="858" t="s">
        <v>490</v>
      </c>
      <c r="AK14" s="859"/>
      <c r="AL14" s="860"/>
      <c r="AM14" s="858" t="s">
        <v>491</v>
      </c>
      <c r="AN14" s="859"/>
      <c r="AO14" s="860"/>
      <c r="AP14" s="858" t="s">
        <v>492</v>
      </c>
      <c r="AQ14" s="859"/>
      <c r="AR14" s="860"/>
    </row>
    <row r="15" spans="2:44" ht="63.95">
      <c r="B15" s="32" t="s">
        <v>493</v>
      </c>
      <c r="C15" s="554" t="s">
        <v>494</v>
      </c>
      <c r="D15" s="555" t="s">
        <v>495</v>
      </c>
      <c r="E15" s="555" t="s">
        <v>496</v>
      </c>
      <c r="F15" s="554" t="s">
        <v>497</v>
      </c>
      <c r="G15" s="555" t="s">
        <v>498</v>
      </c>
      <c r="H15" s="556" t="s">
        <v>499</v>
      </c>
      <c r="I15" s="554" t="s">
        <v>500</v>
      </c>
      <c r="J15" s="555" t="s">
        <v>501</v>
      </c>
      <c r="K15" s="556" t="s">
        <v>502</v>
      </c>
      <c r="L15" s="554" t="s">
        <v>503</v>
      </c>
      <c r="M15" s="555" t="s">
        <v>504</v>
      </c>
      <c r="N15" s="556" t="s">
        <v>505</v>
      </c>
      <c r="O15" s="554" t="s">
        <v>506</v>
      </c>
      <c r="P15" s="555" t="s">
        <v>507</v>
      </c>
      <c r="Q15" s="556" t="s">
        <v>508</v>
      </c>
      <c r="R15" s="554" t="s">
        <v>509</v>
      </c>
      <c r="S15" s="555" t="s">
        <v>510</v>
      </c>
      <c r="T15" s="556" t="s">
        <v>511</v>
      </c>
      <c r="U15" s="554" t="s">
        <v>512</v>
      </c>
      <c r="V15" s="555" t="s">
        <v>513</v>
      </c>
      <c r="W15" s="556" t="s">
        <v>514</v>
      </c>
      <c r="X15" s="554" t="s">
        <v>515</v>
      </c>
      <c r="Y15" s="555" t="s">
        <v>516</v>
      </c>
      <c r="Z15" s="555" t="s">
        <v>517</v>
      </c>
      <c r="AA15" s="554" t="s">
        <v>518</v>
      </c>
      <c r="AB15" s="555" t="s">
        <v>519</v>
      </c>
      <c r="AC15" s="556" t="s">
        <v>520</v>
      </c>
      <c r="AD15" s="554" t="s">
        <v>521</v>
      </c>
      <c r="AE15" s="555" t="s">
        <v>522</v>
      </c>
      <c r="AF15" s="556" t="s">
        <v>523</v>
      </c>
      <c r="AG15" s="554" t="s">
        <v>524</v>
      </c>
      <c r="AH15" s="555" t="s">
        <v>525</v>
      </c>
      <c r="AI15" s="556" t="s">
        <v>526</v>
      </c>
      <c r="AJ15" s="554" t="s">
        <v>527</v>
      </c>
      <c r="AK15" s="555" t="s">
        <v>528</v>
      </c>
      <c r="AL15" s="556" t="s">
        <v>529</v>
      </c>
      <c r="AM15" s="554" t="s">
        <v>530</v>
      </c>
      <c r="AN15" s="555" t="s">
        <v>531</v>
      </c>
      <c r="AO15" s="556" t="s">
        <v>532</v>
      </c>
      <c r="AP15" s="554" t="s">
        <v>533</v>
      </c>
      <c r="AQ15" s="555" t="s">
        <v>534</v>
      </c>
      <c r="AR15" s="556" t="s">
        <v>535</v>
      </c>
    </row>
    <row r="16" spans="2:44">
      <c r="B16" s="33">
        <v>2020</v>
      </c>
      <c r="C16" s="35">
        <v>287</v>
      </c>
      <c r="D16" s="36">
        <v>207</v>
      </c>
      <c r="E16" s="36">
        <v>449</v>
      </c>
      <c r="F16" s="35">
        <v>155</v>
      </c>
      <c r="G16" s="36">
        <v>253</v>
      </c>
      <c r="H16" s="37">
        <v>371</v>
      </c>
      <c r="I16" s="35">
        <v>360</v>
      </c>
      <c r="J16" s="36">
        <v>253</v>
      </c>
      <c r="K16" s="37">
        <v>558</v>
      </c>
      <c r="L16" s="35">
        <v>232</v>
      </c>
      <c r="M16" s="36">
        <v>221</v>
      </c>
      <c r="N16" s="37">
        <v>412</v>
      </c>
      <c r="O16" s="35">
        <v>228</v>
      </c>
      <c r="P16" s="36">
        <v>221</v>
      </c>
      <c r="Q16" s="37">
        <v>408</v>
      </c>
      <c r="R16" s="35">
        <v>247</v>
      </c>
      <c r="S16" s="36">
        <v>253</v>
      </c>
      <c r="T16" s="37">
        <v>455</v>
      </c>
      <c r="U16" s="35">
        <v>248</v>
      </c>
      <c r="V16" s="36">
        <v>253</v>
      </c>
      <c r="W16" s="37">
        <v>455</v>
      </c>
      <c r="X16" s="35">
        <v>292</v>
      </c>
      <c r="Y16" s="36">
        <v>759</v>
      </c>
      <c r="Z16" s="36">
        <v>955</v>
      </c>
      <c r="AA16" s="35">
        <v>252</v>
      </c>
      <c r="AB16" s="36">
        <v>538</v>
      </c>
      <c r="AC16" s="37">
        <v>718</v>
      </c>
      <c r="AD16" s="35">
        <v>265</v>
      </c>
      <c r="AE16" s="36">
        <v>380</v>
      </c>
      <c r="AF16" s="37">
        <v>586</v>
      </c>
      <c r="AG16" s="35">
        <v>280</v>
      </c>
      <c r="AH16" s="36">
        <v>158</v>
      </c>
      <c r="AI16" s="37">
        <v>398</v>
      </c>
      <c r="AJ16" s="35">
        <v>240</v>
      </c>
      <c r="AK16" s="36">
        <v>632</v>
      </c>
      <c r="AL16" s="37">
        <v>794</v>
      </c>
      <c r="AM16" s="35">
        <v>237</v>
      </c>
      <c r="AN16" s="36">
        <v>253</v>
      </c>
      <c r="AO16" s="37">
        <v>445</v>
      </c>
      <c r="AP16" s="35">
        <v>260</v>
      </c>
      <c r="AQ16" s="36">
        <v>190</v>
      </c>
      <c r="AR16" s="37">
        <v>409</v>
      </c>
    </row>
    <row r="17" spans="2:44">
      <c r="B17" s="33">
        <v>2021</v>
      </c>
      <c r="C17" s="35">
        <v>271</v>
      </c>
      <c r="D17" s="36">
        <v>196</v>
      </c>
      <c r="E17" s="36">
        <v>425</v>
      </c>
      <c r="F17" s="35">
        <v>148</v>
      </c>
      <c r="G17" s="36">
        <v>240</v>
      </c>
      <c r="H17" s="37">
        <v>353</v>
      </c>
      <c r="I17" s="35">
        <v>342</v>
      </c>
      <c r="J17" s="36">
        <v>240</v>
      </c>
      <c r="K17" s="37">
        <v>530</v>
      </c>
      <c r="L17" s="35">
        <v>220</v>
      </c>
      <c r="M17" s="36">
        <v>210</v>
      </c>
      <c r="N17" s="37">
        <v>391</v>
      </c>
      <c r="O17" s="35">
        <v>216</v>
      </c>
      <c r="P17" s="36">
        <v>210</v>
      </c>
      <c r="Q17" s="37">
        <v>388</v>
      </c>
      <c r="R17" s="35">
        <v>235</v>
      </c>
      <c r="S17" s="36">
        <v>240</v>
      </c>
      <c r="T17" s="37">
        <v>432</v>
      </c>
      <c r="U17" s="35">
        <v>236</v>
      </c>
      <c r="V17" s="36">
        <v>240</v>
      </c>
      <c r="W17" s="37">
        <v>433</v>
      </c>
      <c r="X17" s="35">
        <v>277</v>
      </c>
      <c r="Y17" s="36">
        <v>721</v>
      </c>
      <c r="Z17" s="36">
        <v>907</v>
      </c>
      <c r="AA17" s="35">
        <v>239</v>
      </c>
      <c r="AB17" s="36">
        <v>511</v>
      </c>
      <c r="AC17" s="37">
        <v>682</v>
      </c>
      <c r="AD17" s="35">
        <v>252</v>
      </c>
      <c r="AE17" s="36">
        <v>360</v>
      </c>
      <c r="AF17" s="37">
        <v>556</v>
      </c>
      <c r="AG17" s="35">
        <v>266</v>
      </c>
      <c r="AH17" s="36">
        <v>150</v>
      </c>
      <c r="AI17" s="37">
        <v>378</v>
      </c>
      <c r="AJ17" s="35">
        <v>228</v>
      </c>
      <c r="AK17" s="36">
        <v>601</v>
      </c>
      <c r="AL17" s="37">
        <v>754</v>
      </c>
      <c r="AM17" s="35">
        <v>225</v>
      </c>
      <c r="AN17" s="36">
        <v>240</v>
      </c>
      <c r="AO17" s="37">
        <v>423</v>
      </c>
      <c r="AP17" s="35">
        <v>247</v>
      </c>
      <c r="AQ17" s="36">
        <v>180</v>
      </c>
      <c r="AR17" s="37">
        <v>389</v>
      </c>
    </row>
    <row r="18" spans="2:44">
      <c r="B18" s="33">
        <v>2022</v>
      </c>
      <c r="C18" s="35">
        <v>256</v>
      </c>
      <c r="D18" s="36">
        <v>185</v>
      </c>
      <c r="E18" s="36">
        <v>401</v>
      </c>
      <c r="F18" s="35">
        <v>140</v>
      </c>
      <c r="G18" s="36">
        <v>228</v>
      </c>
      <c r="H18" s="37">
        <v>334</v>
      </c>
      <c r="I18" s="35">
        <v>324</v>
      </c>
      <c r="J18" s="36">
        <v>228</v>
      </c>
      <c r="K18" s="37">
        <v>502</v>
      </c>
      <c r="L18" s="35">
        <v>209</v>
      </c>
      <c r="M18" s="36">
        <v>199</v>
      </c>
      <c r="N18" s="37">
        <v>371</v>
      </c>
      <c r="O18" s="35">
        <v>205</v>
      </c>
      <c r="P18" s="36">
        <v>199</v>
      </c>
      <c r="Q18" s="37">
        <v>368</v>
      </c>
      <c r="R18" s="35">
        <v>223</v>
      </c>
      <c r="S18" s="36">
        <v>228</v>
      </c>
      <c r="T18" s="37">
        <v>409</v>
      </c>
      <c r="U18" s="35">
        <v>223</v>
      </c>
      <c r="V18" s="36">
        <v>228</v>
      </c>
      <c r="W18" s="37">
        <v>410</v>
      </c>
      <c r="X18" s="35">
        <v>262</v>
      </c>
      <c r="Y18" s="36">
        <v>683</v>
      </c>
      <c r="Z18" s="36">
        <v>860</v>
      </c>
      <c r="AA18" s="35">
        <v>227</v>
      </c>
      <c r="AB18" s="36">
        <v>484</v>
      </c>
      <c r="AC18" s="37">
        <v>646</v>
      </c>
      <c r="AD18" s="35">
        <v>238</v>
      </c>
      <c r="AE18" s="36">
        <v>342</v>
      </c>
      <c r="AF18" s="37">
        <v>527</v>
      </c>
      <c r="AG18" s="35">
        <v>252</v>
      </c>
      <c r="AH18" s="36">
        <v>142</v>
      </c>
      <c r="AI18" s="37">
        <v>358</v>
      </c>
      <c r="AJ18" s="35">
        <v>216</v>
      </c>
      <c r="AK18" s="36">
        <v>569</v>
      </c>
      <c r="AL18" s="37">
        <v>714</v>
      </c>
      <c r="AM18" s="35">
        <v>213</v>
      </c>
      <c r="AN18" s="36">
        <v>228</v>
      </c>
      <c r="AO18" s="37">
        <v>401</v>
      </c>
      <c r="AP18" s="35">
        <v>234</v>
      </c>
      <c r="AQ18" s="36">
        <v>171</v>
      </c>
      <c r="AR18" s="37">
        <v>368</v>
      </c>
    </row>
    <row r="19" spans="2:44">
      <c r="B19" s="33">
        <v>2023</v>
      </c>
      <c r="C19" s="35">
        <v>241</v>
      </c>
      <c r="D19" s="36">
        <v>174</v>
      </c>
      <c r="E19" s="36">
        <v>378</v>
      </c>
      <c r="F19" s="35">
        <v>132</v>
      </c>
      <c r="G19" s="36">
        <v>215</v>
      </c>
      <c r="H19" s="37">
        <v>316</v>
      </c>
      <c r="I19" s="35">
        <v>306</v>
      </c>
      <c r="J19" s="36">
        <v>215</v>
      </c>
      <c r="K19" s="37">
        <v>474</v>
      </c>
      <c r="L19" s="35">
        <v>197</v>
      </c>
      <c r="M19" s="36">
        <v>188</v>
      </c>
      <c r="N19" s="37">
        <v>350</v>
      </c>
      <c r="O19" s="35">
        <v>194</v>
      </c>
      <c r="P19" s="36">
        <v>188</v>
      </c>
      <c r="Q19" s="37">
        <v>347</v>
      </c>
      <c r="R19" s="35">
        <v>210</v>
      </c>
      <c r="S19" s="36">
        <v>215</v>
      </c>
      <c r="T19" s="37">
        <v>387</v>
      </c>
      <c r="U19" s="35">
        <v>211</v>
      </c>
      <c r="V19" s="36">
        <v>215</v>
      </c>
      <c r="W19" s="37">
        <v>387</v>
      </c>
      <c r="X19" s="35">
        <v>248</v>
      </c>
      <c r="Y19" s="36">
        <v>645</v>
      </c>
      <c r="Z19" s="36">
        <v>812</v>
      </c>
      <c r="AA19" s="35">
        <v>214</v>
      </c>
      <c r="AB19" s="36">
        <v>457</v>
      </c>
      <c r="AC19" s="37">
        <v>610</v>
      </c>
      <c r="AD19" s="35">
        <v>225</v>
      </c>
      <c r="AE19" s="36">
        <v>323</v>
      </c>
      <c r="AF19" s="37">
        <v>498</v>
      </c>
      <c r="AG19" s="35">
        <v>238</v>
      </c>
      <c r="AH19" s="36">
        <v>134</v>
      </c>
      <c r="AI19" s="37">
        <v>338</v>
      </c>
      <c r="AJ19" s="35">
        <v>204</v>
      </c>
      <c r="AK19" s="36">
        <v>538</v>
      </c>
      <c r="AL19" s="37">
        <v>674</v>
      </c>
      <c r="AM19" s="35">
        <v>201</v>
      </c>
      <c r="AN19" s="36">
        <v>215</v>
      </c>
      <c r="AO19" s="37">
        <v>378</v>
      </c>
      <c r="AP19" s="35">
        <v>221</v>
      </c>
      <c r="AQ19" s="36">
        <v>161</v>
      </c>
      <c r="AR19" s="37">
        <v>348</v>
      </c>
    </row>
    <row r="20" spans="2:44">
      <c r="B20" s="33">
        <v>2024</v>
      </c>
      <c r="C20" s="35">
        <v>226</v>
      </c>
      <c r="D20" s="36">
        <v>163</v>
      </c>
      <c r="E20" s="36">
        <v>354</v>
      </c>
      <c r="F20" s="35">
        <v>124</v>
      </c>
      <c r="G20" s="36">
        <v>202</v>
      </c>
      <c r="H20" s="37">
        <v>297</v>
      </c>
      <c r="I20" s="35">
        <v>288</v>
      </c>
      <c r="J20" s="36">
        <v>202</v>
      </c>
      <c r="K20" s="37">
        <v>446</v>
      </c>
      <c r="L20" s="35">
        <v>185</v>
      </c>
      <c r="M20" s="36">
        <v>177</v>
      </c>
      <c r="N20" s="37">
        <v>330</v>
      </c>
      <c r="O20" s="35">
        <v>182</v>
      </c>
      <c r="P20" s="36">
        <v>177</v>
      </c>
      <c r="Q20" s="37">
        <v>327</v>
      </c>
      <c r="R20" s="35">
        <v>198</v>
      </c>
      <c r="S20" s="36">
        <v>202</v>
      </c>
      <c r="T20" s="37">
        <v>364</v>
      </c>
      <c r="U20" s="35">
        <v>198</v>
      </c>
      <c r="V20" s="36">
        <v>202</v>
      </c>
      <c r="W20" s="37">
        <v>364</v>
      </c>
      <c r="X20" s="35">
        <v>233</v>
      </c>
      <c r="Y20" s="36">
        <v>607</v>
      </c>
      <c r="Z20" s="36">
        <v>764</v>
      </c>
      <c r="AA20" s="35">
        <v>202</v>
      </c>
      <c r="AB20" s="36">
        <v>430</v>
      </c>
      <c r="AC20" s="37">
        <v>574</v>
      </c>
      <c r="AD20" s="35">
        <v>212</v>
      </c>
      <c r="AE20" s="36">
        <v>304</v>
      </c>
      <c r="AF20" s="37">
        <v>469</v>
      </c>
      <c r="AG20" s="35">
        <v>224</v>
      </c>
      <c r="AH20" s="36">
        <v>126</v>
      </c>
      <c r="AI20" s="37">
        <v>318</v>
      </c>
      <c r="AJ20" s="35">
        <v>192</v>
      </c>
      <c r="AK20" s="36">
        <v>506</v>
      </c>
      <c r="AL20" s="37">
        <v>635</v>
      </c>
      <c r="AM20" s="35">
        <v>190</v>
      </c>
      <c r="AN20" s="36">
        <v>202</v>
      </c>
      <c r="AO20" s="37">
        <v>356</v>
      </c>
      <c r="AP20" s="35">
        <v>208</v>
      </c>
      <c r="AQ20" s="36">
        <v>152</v>
      </c>
      <c r="AR20" s="37">
        <v>327</v>
      </c>
    </row>
    <row r="21" spans="2:44">
      <c r="B21" s="33">
        <v>2025</v>
      </c>
      <c r="C21" s="35">
        <v>211</v>
      </c>
      <c r="D21" s="36">
        <v>153</v>
      </c>
      <c r="E21" s="36">
        <v>331</v>
      </c>
      <c r="F21" s="35">
        <v>116</v>
      </c>
      <c r="G21" s="36">
        <v>190</v>
      </c>
      <c r="H21" s="37">
        <v>278</v>
      </c>
      <c r="I21" s="35">
        <v>270</v>
      </c>
      <c r="J21" s="36">
        <v>190</v>
      </c>
      <c r="K21" s="37">
        <v>418</v>
      </c>
      <c r="L21" s="35">
        <v>174</v>
      </c>
      <c r="M21" s="36">
        <v>166</v>
      </c>
      <c r="N21" s="37">
        <v>309</v>
      </c>
      <c r="O21" s="35">
        <v>171</v>
      </c>
      <c r="P21" s="36">
        <v>166</v>
      </c>
      <c r="Q21" s="37">
        <v>306</v>
      </c>
      <c r="R21" s="35">
        <v>186</v>
      </c>
      <c r="S21" s="36">
        <v>190</v>
      </c>
      <c r="T21" s="37">
        <v>341</v>
      </c>
      <c r="U21" s="35">
        <v>186</v>
      </c>
      <c r="V21" s="36">
        <v>190</v>
      </c>
      <c r="W21" s="37">
        <v>342</v>
      </c>
      <c r="X21" s="35">
        <v>219</v>
      </c>
      <c r="Y21" s="36">
        <v>569</v>
      </c>
      <c r="Z21" s="36">
        <v>716</v>
      </c>
      <c r="AA21" s="35">
        <v>189</v>
      </c>
      <c r="AB21" s="36">
        <v>403</v>
      </c>
      <c r="AC21" s="37">
        <v>538</v>
      </c>
      <c r="AD21" s="35">
        <v>199</v>
      </c>
      <c r="AE21" s="36">
        <v>285</v>
      </c>
      <c r="AF21" s="37">
        <v>439</v>
      </c>
      <c r="AG21" s="35">
        <v>210</v>
      </c>
      <c r="AH21" s="36">
        <v>119</v>
      </c>
      <c r="AI21" s="37">
        <v>298</v>
      </c>
      <c r="AJ21" s="35">
        <v>180</v>
      </c>
      <c r="AK21" s="36">
        <v>474</v>
      </c>
      <c r="AL21" s="37">
        <v>595</v>
      </c>
      <c r="AM21" s="35">
        <v>178</v>
      </c>
      <c r="AN21" s="36">
        <v>190</v>
      </c>
      <c r="AO21" s="37">
        <v>334</v>
      </c>
      <c r="AP21" s="35">
        <v>195</v>
      </c>
      <c r="AQ21" s="36">
        <v>142</v>
      </c>
      <c r="AR21" s="37">
        <v>307</v>
      </c>
    </row>
    <row r="22" spans="2:44">
      <c r="B22" s="33">
        <v>2026</v>
      </c>
      <c r="C22" s="35">
        <v>196</v>
      </c>
      <c r="D22" s="36">
        <v>142</v>
      </c>
      <c r="E22" s="36">
        <v>307</v>
      </c>
      <c r="F22" s="35">
        <v>109</v>
      </c>
      <c r="G22" s="36">
        <v>177</v>
      </c>
      <c r="H22" s="37">
        <v>260</v>
      </c>
      <c r="I22" s="35">
        <v>252</v>
      </c>
      <c r="J22" s="36">
        <v>177</v>
      </c>
      <c r="K22" s="37">
        <v>390</v>
      </c>
      <c r="L22" s="35">
        <v>162</v>
      </c>
      <c r="M22" s="36">
        <v>155</v>
      </c>
      <c r="N22" s="37">
        <v>288</v>
      </c>
      <c r="O22" s="35">
        <v>160</v>
      </c>
      <c r="P22" s="36">
        <v>155</v>
      </c>
      <c r="Q22" s="37">
        <v>286</v>
      </c>
      <c r="R22" s="35">
        <v>173</v>
      </c>
      <c r="S22" s="36">
        <v>177</v>
      </c>
      <c r="T22" s="37">
        <v>318</v>
      </c>
      <c r="U22" s="35">
        <v>174</v>
      </c>
      <c r="V22" s="36">
        <v>177</v>
      </c>
      <c r="W22" s="37">
        <v>319</v>
      </c>
      <c r="X22" s="35">
        <v>204</v>
      </c>
      <c r="Y22" s="36">
        <v>531</v>
      </c>
      <c r="Z22" s="36">
        <v>668</v>
      </c>
      <c r="AA22" s="35">
        <v>176</v>
      </c>
      <c r="AB22" s="36">
        <v>376</v>
      </c>
      <c r="AC22" s="37">
        <v>502</v>
      </c>
      <c r="AD22" s="35">
        <v>185</v>
      </c>
      <c r="AE22" s="36">
        <v>266</v>
      </c>
      <c r="AF22" s="37">
        <v>410</v>
      </c>
      <c r="AG22" s="35">
        <v>196</v>
      </c>
      <c r="AH22" s="36">
        <v>111</v>
      </c>
      <c r="AI22" s="37">
        <v>279</v>
      </c>
      <c r="AJ22" s="35">
        <v>168</v>
      </c>
      <c r="AK22" s="36">
        <v>443</v>
      </c>
      <c r="AL22" s="37">
        <v>555</v>
      </c>
      <c r="AM22" s="35">
        <v>166</v>
      </c>
      <c r="AN22" s="36">
        <v>177</v>
      </c>
      <c r="AO22" s="37">
        <v>312</v>
      </c>
      <c r="AP22" s="35">
        <v>182</v>
      </c>
      <c r="AQ22" s="36">
        <v>133</v>
      </c>
      <c r="AR22" s="37">
        <v>286</v>
      </c>
    </row>
    <row r="23" spans="2:44">
      <c r="B23" s="33">
        <v>2027</v>
      </c>
      <c r="C23" s="35">
        <v>181</v>
      </c>
      <c r="D23" s="36">
        <v>131</v>
      </c>
      <c r="E23" s="36">
        <v>284</v>
      </c>
      <c r="F23" s="35">
        <v>101</v>
      </c>
      <c r="G23" s="36">
        <v>164</v>
      </c>
      <c r="H23" s="37">
        <v>241</v>
      </c>
      <c r="I23" s="35">
        <v>234</v>
      </c>
      <c r="J23" s="36">
        <v>164</v>
      </c>
      <c r="K23" s="37">
        <v>362</v>
      </c>
      <c r="L23" s="35">
        <v>151</v>
      </c>
      <c r="M23" s="36">
        <v>144</v>
      </c>
      <c r="N23" s="37">
        <v>268</v>
      </c>
      <c r="O23" s="35">
        <v>148</v>
      </c>
      <c r="P23" s="36">
        <v>144</v>
      </c>
      <c r="Q23" s="37">
        <v>266</v>
      </c>
      <c r="R23" s="35">
        <v>161</v>
      </c>
      <c r="S23" s="36">
        <v>164</v>
      </c>
      <c r="T23" s="37">
        <v>296</v>
      </c>
      <c r="U23" s="35">
        <v>161</v>
      </c>
      <c r="V23" s="36">
        <v>164</v>
      </c>
      <c r="W23" s="37">
        <v>296</v>
      </c>
      <c r="X23" s="35">
        <v>190</v>
      </c>
      <c r="Y23" s="36">
        <v>493</v>
      </c>
      <c r="Z23" s="36">
        <v>621</v>
      </c>
      <c r="AA23" s="35">
        <v>164</v>
      </c>
      <c r="AB23" s="36">
        <v>349</v>
      </c>
      <c r="AC23" s="37">
        <v>466</v>
      </c>
      <c r="AD23" s="35">
        <v>172</v>
      </c>
      <c r="AE23" s="36">
        <v>247</v>
      </c>
      <c r="AF23" s="37">
        <v>381</v>
      </c>
      <c r="AG23" s="35">
        <v>182</v>
      </c>
      <c r="AH23" s="36">
        <v>103</v>
      </c>
      <c r="AI23" s="37">
        <v>259</v>
      </c>
      <c r="AJ23" s="35">
        <v>156</v>
      </c>
      <c r="AK23" s="36">
        <v>411</v>
      </c>
      <c r="AL23" s="37">
        <v>516</v>
      </c>
      <c r="AM23" s="35">
        <v>154</v>
      </c>
      <c r="AN23" s="36">
        <v>164</v>
      </c>
      <c r="AO23" s="37">
        <v>289</v>
      </c>
      <c r="AP23" s="35">
        <v>169</v>
      </c>
      <c r="AQ23" s="36">
        <v>123</v>
      </c>
      <c r="AR23" s="37">
        <v>266</v>
      </c>
    </row>
    <row r="24" spans="2:44">
      <c r="B24" s="33">
        <v>2028</v>
      </c>
      <c r="C24" s="35">
        <v>166</v>
      </c>
      <c r="D24" s="36">
        <v>120</v>
      </c>
      <c r="E24" s="36">
        <v>260</v>
      </c>
      <c r="F24" s="35">
        <v>93</v>
      </c>
      <c r="G24" s="36">
        <v>152</v>
      </c>
      <c r="H24" s="37">
        <v>223</v>
      </c>
      <c r="I24" s="35">
        <v>216</v>
      </c>
      <c r="J24" s="36">
        <v>152</v>
      </c>
      <c r="K24" s="37">
        <v>334</v>
      </c>
      <c r="L24" s="35">
        <v>139</v>
      </c>
      <c r="M24" s="36">
        <v>133</v>
      </c>
      <c r="N24" s="37">
        <v>247</v>
      </c>
      <c r="O24" s="35">
        <v>137</v>
      </c>
      <c r="P24" s="36">
        <v>133</v>
      </c>
      <c r="Q24" s="37">
        <v>245</v>
      </c>
      <c r="R24" s="35">
        <v>148</v>
      </c>
      <c r="S24" s="36">
        <v>152</v>
      </c>
      <c r="T24" s="37">
        <v>273</v>
      </c>
      <c r="U24" s="35">
        <v>149</v>
      </c>
      <c r="V24" s="36">
        <v>152</v>
      </c>
      <c r="W24" s="37">
        <v>273</v>
      </c>
      <c r="X24" s="35">
        <v>175</v>
      </c>
      <c r="Y24" s="36">
        <v>455</v>
      </c>
      <c r="Z24" s="36">
        <v>573</v>
      </c>
      <c r="AA24" s="35">
        <v>151</v>
      </c>
      <c r="AB24" s="36">
        <v>323</v>
      </c>
      <c r="AC24" s="37">
        <v>431</v>
      </c>
      <c r="AD24" s="35">
        <v>159</v>
      </c>
      <c r="AE24" s="36">
        <v>228</v>
      </c>
      <c r="AF24" s="37">
        <v>351</v>
      </c>
      <c r="AG24" s="35">
        <v>168</v>
      </c>
      <c r="AH24" s="36">
        <v>95</v>
      </c>
      <c r="AI24" s="37">
        <v>239</v>
      </c>
      <c r="AJ24" s="35">
        <v>144</v>
      </c>
      <c r="AK24" s="36">
        <v>380</v>
      </c>
      <c r="AL24" s="37">
        <v>476</v>
      </c>
      <c r="AM24" s="35">
        <v>142</v>
      </c>
      <c r="AN24" s="36">
        <v>152</v>
      </c>
      <c r="AO24" s="37">
        <v>267</v>
      </c>
      <c r="AP24" s="35">
        <v>156</v>
      </c>
      <c r="AQ24" s="36">
        <v>114</v>
      </c>
      <c r="AR24" s="37">
        <v>245</v>
      </c>
    </row>
    <row r="25" spans="2:44">
      <c r="B25" s="33">
        <v>2029</v>
      </c>
      <c r="C25" s="35">
        <v>151</v>
      </c>
      <c r="D25" s="36">
        <v>109</v>
      </c>
      <c r="E25" s="36">
        <v>237</v>
      </c>
      <c r="F25" s="35">
        <v>85</v>
      </c>
      <c r="G25" s="36">
        <v>139</v>
      </c>
      <c r="H25" s="37">
        <v>204</v>
      </c>
      <c r="I25" s="35">
        <v>198</v>
      </c>
      <c r="J25" s="36">
        <v>139</v>
      </c>
      <c r="K25" s="37">
        <v>307</v>
      </c>
      <c r="L25" s="35">
        <v>128</v>
      </c>
      <c r="M25" s="36">
        <v>122</v>
      </c>
      <c r="N25" s="37">
        <v>227</v>
      </c>
      <c r="O25" s="35">
        <v>125</v>
      </c>
      <c r="P25" s="36">
        <v>122</v>
      </c>
      <c r="Q25" s="37">
        <v>225</v>
      </c>
      <c r="R25" s="35">
        <v>136</v>
      </c>
      <c r="S25" s="36">
        <v>139</v>
      </c>
      <c r="T25" s="37">
        <v>250</v>
      </c>
      <c r="U25" s="35">
        <v>136</v>
      </c>
      <c r="V25" s="36">
        <v>139</v>
      </c>
      <c r="W25" s="37">
        <v>250</v>
      </c>
      <c r="X25" s="35">
        <v>160</v>
      </c>
      <c r="Y25" s="36">
        <v>417</v>
      </c>
      <c r="Z25" s="36">
        <v>525</v>
      </c>
      <c r="AA25" s="35">
        <v>138</v>
      </c>
      <c r="AB25" s="36">
        <v>296</v>
      </c>
      <c r="AC25" s="37">
        <v>395</v>
      </c>
      <c r="AD25" s="35">
        <v>146</v>
      </c>
      <c r="AE25" s="36">
        <v>209</v>
      </c>
      <c r="AF25" s="37">
        <v>322</v>
      </c>
      <c r="AG25" s="35">
        <v>154</v>
      </c>
      <c r="AH25" s="36">
        <v>87</v>
      </c>
      <c r="AI25" s="37">
        <v>219</v>
      </c>
      <c r="AJ25" s="35">
        <v>132</v>
      </c>
      <c r="AK25" s="36">
        <v>348</v>
      </c>
      <c r="AL25" s="37">
        <v>436</v>
      </c>
      <c r="AM25" s="35">
        <v>130</v>
      </c>
      <c r="AN25" s="36">
        <v>139</v>
      </c>
      <c r="AO25" s="37">
        <v>245</v>
      </c>
      <c r="AP25" s="35">
        <v>143</v>
      </c>
      <c r="AQ25" s="36">
        <v>104</v>
      </c>
      <c r="AR25" s="37">
        <v>225</v>
      </c>
    </row>
    <row r="26" spans="2:44">
      <c r="B26" s="33">
        <v>2030</v>
      </c>
      <c r="C26" s="35">
        <v>136</v>
      </c>
      <c r="D26" s="36">
        <v>98</v>
      </c>
      <c r="E26" s="36">
        <v>213</v>
      </c>
      <c r="F26" s="35">
        <v>78</v>
      </c>
      <c r="G26" s="36">
        <v>126</v>
      </c>
      <c r="H26" s="37">
        <v>186</v>
      </c>
      <c r="I26" s="35">
        <v>180</v>
      </c>
      <c r="J26" s="36">
        <v>126</v>
      </c>
      <c r="K26" s="37">
        <v>279</v>
      </c>
      <c r="L26" s="35">
        <v>116</v>
      </c>
      <c r="M26" s="36">
        <v>111</v>
      </c>
      <c r="N26" s="37">
        <v>206</v>
      </c>
      <c r="O26" s="35">
        <v>114</v>
      </c>
      <c r="P26" s="36">
        <v>111</v>
      </c>
      <c r="Q26" s="37">
        <v>204</v>
      </c>
      <c r="R26" s="35">
        <v>124</v>
      </c>
      <c r="S26" s="36">
        <v>126</v>
      </c>
      <c r="T26" s="37">
        <v>227</v>
      </c>
      <c r="U26" s="35">
        <v>124</v>
      </c>
      <c r="V26" s="36">
        <v>126</v>
      </c>
      <c r="W26" s="37">
        <v>228</v>
      </c>
      <c r="X26" s="35">
        <v>146</v>
      </c>
      <c r="Y26" s="36">
        <v>380</v>
      </c>
      <c r="Z26" s="36">
        <v>478</v>
      </c>
      <c r="AA26" s="35">
        <v>126</v>
      </c>
      <c r="AB26" s="36">
        <v>269</v>
      </c>
      <c r="AC26" s="37">
        <v>359</v>
      </c>
      <c r="AD26" s="35">
        <v>132</v>
      </c>
      <c r="AE26" s="36">
        <v>190</v>
      </c>
      <c r="AF26" s="37">
        <v>293</v>
      </c>
      <c r="AG26" s="35">
        <v>140</v>
      </c>
      <c r="AH26" s="36">
        <v>79</v>
      </c>
      <c r="AI26" s="37">
        <v>199</v>
      </c>
      <c r="AJ26" s="35">
        <v>120</v>
      </c>
      <c r="AK26" s="36">
        <v>316</v>
      </c>
      <c r="AL26" s="37">
        <v>397</v>
      </c>
      <c r="AM26" s="35">
        <v>118</v>
      </c>
      <c r="AN26" s="36">
        <v>126</v>
      </c>
      <c r="AO26" s="37">
        <v>223</v>
      </c>
      <c r="AP26" s="35">
        <v>130</v>
      </c>
      <c r="AQ26" s="36">
        <v>95</v>
      </c>
      <c r="AR26" s="37">
        <v>204</v>
      </c>
    </row>
    <row r="27" spans="2:44">
      <c r="B27" s="33">
        <v>2031</v>
      </c>
      <c r="C27" s="35">
        <v>130</v>
      </c>
      <c r="D27" s="36">
        <v>94</v>
      </c>
      <c r="E27" s="36">
        <v>204</v>
      </c>
      <c r="F27" s="35">
        <v>74</v>
      </c>
      <c r="G27" s="36">
        <v>121</v>
      </c>
      <c r="H27" s="37">
        <v>178</v>
      </c>
      <c r="I27" s="35">
        <v>173</v>
      </c>
      <c r="J27" s="36">
        <v>121</v>
      </c>
      <c r="K27" s="37">
        <v>268</v>
      </c>
      <c r="L27" s="35">
        <v>111</v>
      </c>
      <c r="M27" s="36">
        <v>106</v>
      </c>
      <c r="N27" s="37">
        <v>198</v>
      </c>
      <c r="O27" s="35">
        <v>109</v>
      </c>
      <c r="P27" s="36">
        <v>106</v>
      </c>
      <c r="Q27" s="37">
        <v>196</v>
      </c>
      <c r="R27" s="35">
        <v>119</v>
      </c>
      <c r="S27" s="36">
        <v>121</v>
      </c>
      <c r="T27" s="37">
        <v>218</v>
      </c>
      <c r="U27" s="35">
        <v>119</v>
      </c>
      <c r="V27" s="36">
        <v>121</v>
      </c>
      <c r="W27" s="37">
        <v>219</v>
      </c>
      <c r="X27" s="35">
        <v>140</v>
      </c>
      <c r="Y27" s="36">
        <v>364</v>
      </c>
      <c r="Z27" s="36">
        <v>458</v>
      </c>
      <c r="AA27" s="35">
        <v>121</v>
      </c>
      <c r="AB27" s="36">
        <v>258</v>
      </c>
      <c r="AC27" s="37">
        <v>344</v>
      </c>
      <c r="AD27" s="35">
        <v>127</v>
      </c>
      <c r="AE27" s="36">
        <v>182</v>
      </c>
      <c r="AF27" s="37">
        <v>281</v>
      </c>
      <c r="AG27" s="35">
        <v>134</v>
      </c>
      <c r="AH27" s="36">
        <v>76</v>
      </c>
      <c r="AI27" s="37">
        <v>191</v>
      </c>
      <c r="AJ27" s="35">
        <v>115</v>
      </c>
      <c r="AK27" s="36">
        <v>304</v>
      </c>
      <c r="AL27" s="37">
        <v>381</v>
      </c>
      <c r="AM27" s="35">
        <v>114</v>
      </c>
      <c r="AN27" s="36">
        <v>121</v>
      </c>
      <c r="AO27" s="37">
        <v>214</v>
      </c>
      <c r="AP27" s="35">
        <v>125</v>
      </c>
      <c r="AQ27" s="36">
        <v>91</v>
      </c>
      <c r="AR27" s="37">
        <v>196</v>
      </c>
    </row>
    <row r="28" spans="2:44">
      <c r="B28" s="33">
        <v>2032</v>
      </c>
      <c r="C28" s="35">
        <v>125</v>
      </c>
      <c r="D28" s="36">
        <v>90</v>
      </c>
      <c r="E28" s="36">
        <v>195</v>
      </c>
      <c r="F28" s="35">
        <v>71</v>
      </c>
      <c r="G28" s="36">
        <v>116</v>
      </c>
      <c r="H28" s="37">
        <v>171</v>
      </c>
      <c r="I28" s="35">
        <v>166</v>
      </c>
      <c r="J28" s="36">
        <v>116</v>
      </c>
      <c r="K28" s="37">
        <v>256</v>
      </c>
      <c r="L28" s="35">
        <v>107</v>
      </c>
      <c r="M28" s="36">
        <v>102</v>
      </c>
      <c r="N28" s="37">
        <v>190</v>
      </c>
      <c r="O28" s="35">
        <v>105</v>
      </c>
      <c r="P28" s="36">
        <v>102</v>
      </c>
      <c r="Q28" s="37">
        <v>188</v>
      </c>
      <c r="R28" s="35">
        <v>114</v>
      </c>
      <c r="S28" s="36">
        <v>116</v>
      </c>
      <c r="T28" s="37">
        <v>209</v>
      </c>
      <c r="U28" s="35">
        <v>114</v>
      </c>
      <c r="V28" s="36">
        <v>116</v>
      </c>
      <c r="W28" s="37">
        <v>210</v>
      </c>
      <c r="X28" s="35">
        <v>134</v>
      </c>
      <c r="Y28" s="36">
        <v>349</v>
      </c>
      <c r="Z28" s="36">
        <v>439</v>
      </c>
      <c r="AA28" s="35">
        <v>116</v>
      </c>
      <c r="AB28" s="36">
        <v>247</v>
      </c>
      <c r="AC28" s="37">
        <v>330</v>
      </c>
      <c r="AD28" s="35">
        <v>122</v>
      </c>
      <c r="AE28" s="36">
        <v>175</v>
      </c>
      <c r="AF28" s="37">
        <v>269</v>
      </c>
      <c r="AG28" s="35">
        <v>129</v>
      </c>
      <c r="AH28" s="36">
        <v>73</v>
      </c>
      <c r="AI28" s="37">
        <v>183</v>
      </c>
      <c r="AJ28" s="35">
        <v>110</v>
      </c>
      <c r="AK28" s="36">
        <v>291</v>
      </c>
      <c r="AL28" s="37">
        <v>365</v>
      </c>
      <c r="AM28" s="35">
        <v>109</v>
      </c>
      <c r="AN28" s="36">
        <v>116</v>
      </c>
      <c r="AO28" s="37">
        <v>205</v>
      </c>
      <c r="AP28" s="35">
        <v>120</v>
      </c>
      <c r="AQ28" s="36">
        <v>87</v>
      </c>
      <c r="AR28" s="37">
        <v>188</v>
      </c>
    </row>
    <row r="29" spans="2:44">
      <c r="B29" s="33">
        <v>2033</v>
      </c>
      <c r="C29" s="35">
        <v>119</v>
      </c>
      <c r="D29" s="36">
        <v>86</v>
      </c>
      <c r="E29" s="36">
        <v>186</v>
      </c>
      <c r="F29" s="35">
        <v>68</v>
      </c>
      <c r="G29" s="36">
        <v>111</v>
      </c>
      <c r="H29" s="37">
        <v>163</v>
      </c>
      <c r="I29" s="35">
        <v>158</v>
      </c>
      <c r="J29" s="36">
        <v>111</v>
      </c>
      <c r="K29" s="37">
        <v>245</v>
      </c>
      <c r="L29" s="35">
        <v>102</v>
      </c>
      <c r="M29" s="36">
        <v>97</v>
      </c>
      <c r="N29" s="37">
        <v>181</v>
      </c>
      <c r="O29" s="35">
        <v>100</v>
      </c>
      <c r="P29" s="36">
        <v>97</v>
      </c>
      <c r="Q29" s="37">
        <v>180</v>
      </c>
      <c r="R29" s="35">
        <v>109</v>
      </c>
      <c r="S29" s="36">
        <v>111</v>
      </c>
      <c r="T29" s="37">
        <v>200</v>
      </c>
      <c r="U29" s="35">
        <v>109</v>
      </c>
      <c r="V29" s="36">
        <v>111</v>
      </c>
      <c r="W29" s="37">
        <v>200</v>
      </c>
      <c r="X29" s="35">
        <v>128</v>
      </c>
      <c r="Y29" s="36">
        <v>334</v>
      </c>
      <c r="Z29" s="36">
        <v>420</v>
      </c>
      <c r="AA29" s="35">
        <v>111</v>
      </c>
      <c r="AB29" s="36">
        <v>236</v>
      </c>
      <c r="AC29" s="37">
        <v>316</v>
      </c>
      <c r="AD29" s="35">
        <v>116</v>
      </c>
      <c r="AE29" s="36">
        <v>167</v>
      </c>
      <c r="AF29" s="37">
        <v>258</v>
      </c>
      <c r="AG29" s="35">
        <v>123</v>
      </c>
      <c r="AH29" s="36">
        <v>70</v>
      </c>
      <c r="AI29" s="37">
        <v>175</v>
      </c>
      <c r="AJ29" s="35">
        <v>106</v>
      </c>
      <c r="AK29" s="36">
        <v>278</v>
      </c>
      <c r="AL29" s="37">
        <v>349</v>
      </c>
      <c r="AM29" s="35">
        <v>104</v>
      </c>
      <c r="AN29" s="36">
        <v>111</v>
      </c>
      <c r="AO29" s="37">
        <v>196</v>
      </c>
      <c r="AP29" s="35">
        <v>114</v>
      </c>
      <c r="AQ29" s="36">
        <v>84</v>
      </c>
      <c r="AR29" s="37">
        <v>180</v>
      </c>
    </row>
    <row r="30" spans="2:44">
      <c r="B30" s="33">
        <v>2034</v>
      </c>
      <c r="C30" s="35">
        <v>113</v>
      </c>
      <c r="D30" s="36">
        <v>82</v>
      </c>
      <c r="E30" s="36">
        <v>177</v>
      </c>
      <c r="F30" s="35">
        <v>65</v>
      </c>
      <c r="G30" s="36">
        <v>106</v>
      </c>
      <c r="H30" s="37">
        <v>156</v>
      </c>
      <c r="I30" s="35">
        <v>151</v>
      </c>
      <c r="J30" s="36">
        <v>106</v>
      </c>
      <c r="K30" s="37">
        <v>234</v>
      </c>
      <c r="L30" s="35">
        <v>97</v>
      </c>
      <c r="M30" s="36">
        <v>93</v>
      </c>
      <c r="N30" s="37">
        <v>173</v>
      </c>
      <c r="O30" s="35">
        <v>96</v>
      </c>
      <c r="P30" s="36">
        <v>93</v>
      </c>
      <c r="Q30" s="37">
        <v>172</v>
      </c>
      <c r="R30" s="35">
        <v>104</v>
      </c>
      <c r="S30" s="36">
        <v>106</v>
      </c>
      <c r="T30" s="37">
        <v>191</v>
      </c>
      <c r="U30" s="35">
        <v>104</v>
      </c>
      <c r="V30" s="36">
        <v>106</v>
      </c>
      <c r="W30" s="37">
        <v>191</v>
      </c>
      <c r="X30" s="35">
        <v>122</v>
      </c>
      <c r="Y30" s="36">
        <v>319</v>
      </c>
      <c r="Z30" s="36">
        <v>401</v>
      </c>
      <c r="AA30" s="35">
        <v>106</v>
      </c>
      <c r="AB30" s="36">
        <v>226</v>
      </c>
      <c r="AC30" s="37">
        <v>301</v>
      </c>
      <c r="AD30" s="35">
        <v>111</v>
      </c>
      <c r="AE30" s="36">
        <v>159</v>
      </c>
      <c r="AF30" s="37">
        <v>246</v>
      </c>
      <c r="AG30" s="35">
        <v>118</v>
      </c>
      <c r="AH30" s="36">
        <v>66</v>
      </c>
      <c r="AI30" s="37">
        <v>167</v>
      </c>
      <c r="AJ30" s="35">
        <v>101</v>
      </c>
      <c r="AK30" s="36">
        <v>266</v>
      </c>
      <c r="AL30" s="37">
        <v>333</v>
      </c>
      <c r="AM30" s="35">
        <v>100</v>
      </c>
      <c r="AN30" s="36">
        <v>106</v>
      </c>
      <c r="AO30" s="37">
        <v>187</v>
      </c>
      <c r="AP30" s="35">
        <v>109</v>
      </c>
      <c r="AQ30" s="36">
        <v>80</v>
      </c>
      <c r="AR30" s="37">
        <v>172</v>
      </c>
    </row>
    <row r="31" spans="2:44">
      <c r="B31" s="33">
        <v>2035</v>
      </c>
      <c r="C31" s="35">
        <v>107</v>
      </c>
      <c r="D31" s="36">
        <v>78</v>
      </c>
      <c r="E31" s="36">
        <v>168</v>
      </c>
      <c r="F31" s="35">
        <v>62</v>
      </c>
      <c r="G31" s="36">
        <v>101</v>
      </c>
      <c r="H31" s="37">
        <v>148</v>
      </c>
      <c r="I31" s="35">
        <v>144</v>
      </c>
      <c r="J31" s="36">
        <v>101</v>
      </c>
      <c r="K31" s="37">
        <v>223</v>
      </c>
      <c r="L31" s="35">
        <v>93</v>
      </c>
      <c r="M31" s="36">
        <v>88</v>
      </c>
      <c r="N31" s="37">
        <v>165</v>
      </c>
      <c r="O31" s="35">
        <v>91</v>
      </c>
      <c r="P31" s="36">
        <v>88</v>
      </c>
      <c r="Q31" s="37">
        <v>163</v>
      </c>
      <c r="R31" s="35">
        <v>99</v>
      </c>
      <c r="S31" s="36">
        <v>101</v>
      </c>
      <c r="T31" s="37">
        <v>182</v>
      </c>
      <c r="U31" s="35">
        <v>99</v>
      </c>
      <c r="V31" s="36">
        <v>101</v>
      </c>
      <c r="W31" s="37">
        <v>182</v>
      </c>
      <c r="X31" s="35">
        <v>117</v>
      </c>
      <c r="Y31" s="36">
        <v>304</v>
      </c>
      <c r="Z31" s="36">
        <v>382</v>
      </c>
      <c r="AA31" s="35">
        <v>101</v>
      </c>
      <c r="AB31" s="36">
        <v>215</v>
      </c>
      <c r="AC31" s="37">
        <v>287</v>
      </c>
      <c r="AD31" s="35">
        <v>106</v>
      </c>
      <c r="AE31" s="36">
        <v>152</v>
      </c>
      <c r="AF31" s="37">
        <v>234</v>
      </c>
      <c r="AG31" s="35">
        <v>112</v>
      </c>
      <c r="AH31" s="36">
        <v>63</v>
      </c>
      <c r="AI31" s="37">
        <v>159</v>
      </c>
      <c r="AJ31" s="35">
        <v>96</v>
      </c>
      <c r="AK31" s="36">
        <v>253</v>
      </c>
      <c r="AL31" s="37">
        <v>317</v>
      </c>
      <c r="AM31" s="35">
        <v>95</v>
      </c>
      <c r="AN31" s="36">
        <v>101</v>
      </c>
      <c r="AO31" s="37">
        <v>178</v>
      </c>
      <c r="AP31" s="35">
        <v>104</v>
      </c>
      <c r="AQ31" s="36">
        <v>76</v>
      </c>
      <c r="AR31" s="37">
        <v>164</v>
      </c>
    </row>
    <row r="32" spans="2:44">
      <c r="B32" s="33">
        <v>2036</v>
      </c>
      <c r="C32" s="35">
        <v>102</v>
      </c>
      <c r="D32" s="36">
        <v>73</v>
      </c>
      <c r="E32" s="36">
        <v>159</v>
      </c>
      <c r="F32" s="35">
        <v>59</v>
      </c>
      <c r="G32" s="36">
        <v>96</v>
      </c>
      <c r="H32" s="37">
        <v>141</v>
      </c>
      <c r="I32" s="35">
        <v>137</v>
      </c>
      <c r="J32" s="36">
        <v>96</v>
      </c>
      <c r="K32" s="37">
        <v>212</v>
      </c>
      <c r="L32" s="35">
        <v>88</v>
      </c>
      <c r="M32" s="36">
        <v>84</v>
      </c>
      <c r="N32" s="37">
        <v>157</v>
      </c>
      <c r="O32" s="35">
        <v>87</v>
      </c>
      <c r="P32" s="36">
        <v>84</v>
      </c>
      <c r="Q32" s="37">
        <v>155</v>
      </c>
      <c r="R32" s="35">
        <v>94</v>
      </c>
      <c r="S32" s="36">
        <v>96</v>
      </c>
      <c r="T32" s="37">
        <v>173</v>
      </c>
      <c r="U32" s="35">
        <v>94</v>
      </c>
      <c r="V32" s="36">
        <v>96</v>
      </c>
      <c r="W32" s="37">
        <v>173</v>
      </c>
      <c r="X32" s="35">
        <v>111</v>
      </c>
      <c r="Y32" s="36">
        <v>288</v>
      </c>
      <c r="Z32" s="36">
        <v>363</v>
      </c>
      <c r="AA32" s="35">
        <v>96</v>
      </c>
      <c r="AB32" s="36">
        <v>204</v>
      </c>
      <c r="AC32" s="37">
        <v>273</v>
      </c>
      <c r="AD32" s="35">
        <v>101</v>
      </c>
      <c r="AE32" s="36">
        <v>144</v>
      </c>
      <c r="AF32" s="37">
        <v>223</v>
      </c>
      <c r="AG32" s="35">
        <v>106</v>
      </c>
      <c r="AH32" s="36">
        <v>60</v>
      </c>
      <c r="AI32" s="37">
        <v>151</v>
      </c>
      <c r="AJ32" s="35">
        <v>91</v>
      </c>
      <c r="AK32" s="36">
        <v>240</v>
      </c>
      <c r="AL32" s="37">
        <v>302</v>
      </c>
      <c r="AM32" s="35">
        <v>90</v>
      </c>
      <c r="AN32" s="36">
        <v>96</v>
      </c>
      <c r="AO32" s="37">
        <v>169</v>
      </c>
      <c r="AP32" s="35">
        <v>99</v>
      </c>
      <c r="AQ32" s="36">
        <v>72</v>
      </c>
      <c r="AR32" s="37">
        <v>155</v>
      </c>
    </row>
    <row r="33" spans="2:44">
      <c r="B33" s="33">
        <v>2037</v>
      </c>
      <c r="C33" s="35">
        <v>96</v>
      </c>
      <c r="D33" s="36">
        <v>69</v>
      </c>
      <c r="E33" s="36">
        <v>150</v>
      </c>
      <c r="F33" s="35">
        <v>56</v>
      </c>
      <c r="G33" s="36">
        <v>91</v>
      </c>
      <c r="H33" s="37">
        <v>134</v>
      </c>
      <c r="I33" s="35">
        <v>130</v>
      </c>
      <c r="J33" s="36">
        <v>91</v>
      </c>
      <c r="K33" s="37">
        <v>201</v>
      </c>
      <c r="L33" s="35">
        <v>84</v>
      </c>
      <c r="M33" s="36">
        <v>80</v>
      </c>
      <c r="N33" s="37">
        <v>148</v>
      </c>
      <c r="O33" s="35">
        <v>82</v>
      </c>
      <c r="P33" s="36">
        <v>80</v>
      </c>
      <c r="Q33" s="37">
        <v>147</v>
      </c>
      <c r="R33" s="35">
        <v>89</v>
      </c>
      <c r="S33" s="36">
        <v>91</v>
      </c>
      <c r="T33" s="37">
        <v>164</v>
      </c>
      <c r="U33" s="35">
        <v>89</v>
      </c>
      <c r="V33" s="36">
        <v>91</v>
      </c>
      <c r="W33" s="37">
        <v>164</v>
      </c>
      <c r="X33" s="35">
        <v>105</v>
      </c>
      <c r="Y33" s="36">
        <v>273</v>
      </c>
      <c r="Z33" s="36">
        <v>344</v>
      </c>
      <c r="AA33" s="35">
        <v>91</v>
      </c>
      <c r="AB33" s="36">
        <v>194</v>
      </c>
      <c r="AC33" s="37">
        <v>258</v>
      </c>
      <c r="AD33" s="35">
        <v>95</v>
      </c>
      <c r="AE33" s="36">
        <v>137</v>
      </c>
      <c r="AF33" s="37">
        <v>211</v>
      </c>
      <c r="AG33" s="35">
        <v>101</v>
      </c>
      <c r="AH33" s="36">
        <v>57</v>
      </c>
      <c r="AI33" s="37">
        <v>143</v>
      </c>
      <c r="AJ33" s="35">
        <v>86</v>
      </c>
      <c r="AK33" s="36">
        <v>228</v>
      </c>
      <c r="AL33" s="37">
        <v>286</v>
      </c>
      <c r="AM33" s="35">
        <v>85</v>
      </c>
      <c r="AN33" s="36">
        <v>91</v>
      </c>
      <c r="AO33" s="37">
        <v>160</v>
      </c>
      <c r="AP33" s="35">
        <v>94</v>
      </c>
      <c r="AQ33" s="36">
        <v>68</v>
      </c>
      <c r="AR33" s="37">
        <v>147</v>
      </c>
    </row>
    <row r="34" spans="2:44">
      <c r="B34" s="33">
        <v>2038</v>
      </c>
      <c r="C34" s="35">
        <v>90</v>
      </c>
      <c r="D34" s="36">
        <v>65</v>
      </c>
      <c r="E34" s="36">
        <v>141</v>
      </c>
      <c r="F34" s="35">
        <v>53</v>
      </c>
      <c r="G34" s="36">
        <v>86</v>
      </c>
      <c r="H34" s="37">
        <v>126</v>
      </c>
      <c r="I34" s="35">
        <v>122</v>
      </c>
      <c r="J34" s="36">
        <v>86</v>
      </c>
      <c r="K34" s="37">
        <v>190</v>
      </c>
      <c r="L34" s="35">
        <v>79</v>
      </c>
      <c r="M34" s="36">
        <v>75</v>
      </c>
      <c r="N34" s="37">
        <v>140</v>
      </c>
      <c r="O34" s="35">
        <v>78</v>
      </c>
      <c r="P34" s="36">
        <v>75</v>
      </c>
      <c r="Q34" s="37">
        <v>139</v>
      </c>
      <c r="R34" s="35">
        <v>84</v>
      </c>
      <c r="S34" s="36">
        <v>86</v>
      </c>
      <c r="T34" s="37">
        <v>155</v>
      </c>
      <c r="U34" s="35">
        <v>84</v>
      </c>
      <c r="V34" s="36">
        <v>86</v>
      </c>
      <c r="W34" s="37">
        <v>155</v>
      </c>
      <c r="X34" s="35">
        <v>99</v>
      </c>
      <c r="Y34" s="36">
        <v>258</v>
      </c>
      <c r="Z34" s="36">
        <v>325</v>
      </c>
      <c r="AA34" s="35">
        <v>86</v>
      </c>
      <c r="AB34" s="36">
        <v>183</v>
      </c>
      <c r="AC34" s="37">
        <v>244</v>
      </c>
      <c r="AD34" s="35">
        <v>90</v>
      </c>
      <c r="AE34" s="36">
        <v>129</v>
      </c>
      <c r="AF34" s="37">
        <v>199</v>
      </c>
      <c r="AG34" s="35">
        <v>95</v>
      </c>
      <c r="AH34" s="36">
        <v>54</v>
      </c>
      <c r="AI34" s="37">
        <v>135</v>
      </c>
      <c r="AJ34" s="35">
        <v>82</v>
      </c>
      <c r="AK34" s="36">
        <v>215</v>
      </c>
      <c r="AL34" s="37">
        <v>270</v>
      </c>
      <c r="AM34" s="35">
        <v>80</v>
      </c>
      <c r="AN34" s="36">
        <v>86</v>
      </c>
      <c r="AO34" s="37">
        <v>151</v>
      </c>
      <c r="AP34" s="35">
        <v>88</v>
      </c>
      <c r="AQ34" s="36">
        <v>64</v>
      </c>
      <c r="AR34" s="37">
        <v>139</v>
      </c>
    </row>
    <row r="35" spans="2:44">
      <c r="B35" s="33">
        <v>2039</v>
      </c>
      <c r="C35" s="35">
        <v>85</v>
      </c>
      <c r="D35" s="36">
        <v>61</v>
      </c>
      <c r="E35" s="36">
        <v>132</v>
      </c>
      <c r="F35" s="35">
        <v>50</v>
      </c>
      <c r="G35" s="36">
        <v>81</v>
      </c>
      <c r="H35" s="37">
        <v>119</v>
      </c>
      <c r="I35" s="35">
        <v>115</v>
      </c>
      <c r="J35" s="36">
        <v>81</v>
      </c>
      <c r="K35" s="37">
        <v>178</v>
      </c>
      <c r="L35" s="35">
        <v>74</v>
      </c>
      <c r="M35" s="36">
        <v>71</v>
      </c>
      <c r="N35" s="37">
        <v>132</v>
      </c>
      <c r="O35" s="35">
        <v>73</v>
      </c>
      <c r="P35" s="36">
        <v>71</v>
      </c>
      <c r="Q35" s="37">
        <v>131</v>
      </c>
      <c r="R35" s="35">
        <v>79</v>
      </c>
      <c r="S35" s="36">
        <v>81</v>
      </c>
      <c r="T35" s="37">
        <v>146</v>
      </c>
      <c r="U35" s="35">
        <v>79</v>
      </c>
      <c r="V35" s="36">
        <v>81</v>
      </c>
      <c r="W35" s="37">
        <v>146</v>
      </c>
      <c r="X35" s="35">
        <v>93</v>
      </c>
      <c r="Y35" s="36">
        <v>243</v>
      </c>
      <c r="Z35" s="36">
        <v>306</v>
      </c>
      <c r="AA35" s="35">
        <v>81</v>
      </c>
      <c r="AB35" s="36">
        <v>172</v>
      </c>
      <c r="AC35" s="37">
        <v>230</v>
      </c>
      <c r="AD35" s="35">
        <v>85</v>
      </c>
      <c r="AE35" s="36">
        <v>121</v>
      </c>
      <c r="AF35" s="37">
        <v>187</v>
      </c>
      <c r="AG35" s="35">
        <v>90</v>
      </c>
      <c r="AH35" s="36">
        <v>51</v>
      </c>
      <c r="AI35" s="37">
        <v>127</v>
      </c>
      <c r="AJ35" s="35">
        <v>77</v>
      </c>
      <c r="AK35" s="36">
        <v>202</v>
      </c>
      <c r="AL35" s="37">
        <v>254</v>
      </c>
      <c r="AM35" s="35">
        <v>76</v>
      </c>
      <c r="AN35" s="36">
        <v>81</v>
      </c>
      <c r="AO35" s="37">
        <v>142</v>
      </c>
      <c r="AP35" s="35">
        <v>83</v>
      </c>
      <c r="AQ35" s="36">
        <v>61</v>
      </c>
      <c r="AR35" s="37">
        <v>131</v>
      </c>
    </row>
    <row r="36" spans="2:44">
      <c r="B36" s="33">
        <v>2040</v>
      </c>
      <c r="C36" s="35">
        <v>79</v>
      </c>
      <c r="D36" s="36">
        <v>57</v>
      </c>
      <c r="E36" s="36">
        <v>123</v>
      </c>
      <c r="F36" s="35">
        <v>47</v>
      </c>
      <c r="G36" s="36">
        <v>76</v>
      </c>
      <c r="H36" s="37">
        <v>111</v>
      </c>
      <c r="I36" s="35">
        <v>108</v>
      </c>
      <c r="J36" s="36">
        <v>76</v>
      </c>
      <c r="K36" s="37">
        <v>167</v>
      </c>
      <c r="L36" s="35">
        <v>70</v>
      </c>
      <c r="M36" s="36">
        <v>66</v>
      </c>
      <c r="N36" s="37">
        <v>124</v>
      </c>
      <c r="O36" s="35">
        <v>68</v>
      </c>
      <c r="P36" s="36">
        <v>66</v>
      </c>
      <c r="Q36" s="37">
        <v>122</v>
      </c>
      <c r="R36" s="35">
        <v>74</v>
      </c>
      <c r="S36" s="36">
        <v>76</v>
      </c>
      <c r="T36" s="37">
        <v>136</v>
      </c>
      <c r="U36" s="35">
        <v>74</v>
      </c>
      <c r="V36" s="36">
        <v>76</v>
      </c>
      <c r="W36" s="37">
        <v>137</v>
      </c>
      <c r="X36" s="35">
        <v>88</v>
      </c>
      <c r="Y36" s="36">
        <v>228</v>
      </c>
      <c r="Z36" s="36">
        <v>286</v>
      </c>
      <c r="AA36" s="35">
        <v>76</v>
      </c>
      <c r="AB36" s="36">
        <v>161</v>
      </c>
      <c r="AC36" s="37">
        <v>215</v>
      </c>
      <c r="AD36" s="35">
        <v>79</v>
      </c>
      <c r="AE36" s="36">
        <v>114</v>
      </c>
      <c r="AF36" s="37">
        <v>176</v>
      </c>
      <c r="AG36" s="35">
        <v>84</v>
      </c>
      <c r="AH36" s="36">
        <v>47</v>
      </c>
      <c r="AI36" s="37">
        <v>119</v>
      </c>
      <c r="AJ36" s="35">
        <v>72</v>
      </c>
      <c r="AK36" s="36">
        <v>190</v>
      </c>
      <c r="AL36" s="37">
        <v>238</v>
      </c>
      <c r="AM36" s="35">
        <v>71</v>
      </c>
      <c r="AN36" s="36">
        <v>76</v>
      </c>
      <c r="AO36" s="37">
        <v>134</v>
      </c>
      <c r="AP36" s="35">
        <v>78</v>
      </c>
      <c r="AQ36" s="36">
        <v>57</v>
      </c>
      <c r="AR36" s="37">
        <v>123</v>
      </c>
    </row>
    <row r="37" spans="2:44">
      <c r="B37" s="33">
        <v>2041</v>
      </c>
      <c r="C37" s="35">
        <v>73</v>
      </c>
      <c r="D37" s="36">
        <v>53</v>
      </c>
      <c r="E37" s="36">
        <v>114</v>
      </c>
      <c r="F37" s="35">
        <v>44</v>
      </c>
      <c r="G37" s="36">
        <v>71</v>
      </c>
      <c r="H37" s="37">
        <v>104</v>
      </c>
      <c r="I37" s="35">
        <v>101</v>
      </c>
      <c r="J37" s="36">
        <v>71</v>
      </c>
      <c r="K37" s="37">
        <v>156</v>
      </c>
      <c r="L37" s="35">
        <v>65</v>
      </c>
      <c r="M37" s="36">
        <v>62</v>
      </c>
      <c r="N37" s="37">
        <v>115</v>
      </c>
      <c r="O37" s="35">
        <v>64</v>
      </c>
      <c r="P37" s="36">
        <v>62</v>
      </c>
      <c r="Q37" s="37">
        <v>114</v>
      </c>
      <c r="R37" s="35">
        <v>69</v>
      </c>
      <c r="S37" s="36">
        <v>71</v>
      </c>
      <c r="T37" s="37">
        <v>127</v>
      </c>
      <c r="U37" s="35">
        <v>69</v>
      </c>
      <c r="V37" s="36">
        <v>71</v>
      </c>
      <c r="W37" s="37">
        <v>128</v>
      </c>
      <c r="X37" s="35">
        <v>82</v>
      </c>
      <c r="Y37" s="36">
        <v>212</v>
      </c>
      <c r="Z37" s="36">
        <v>267</v>
      </c>
      <c r="AA37" s="35">
        <v>70</v>
      </c>
      <c r="AB37" s="36">
        <v>150</v>
      </c>
      <c r="AC37" s="37">
        <v>201</v>
      </c>
      <c r="AD37" s="35">
        <v>74</v>
      </c>
      <c r="AE37" s="36">
        <v>106</v>
      </c>
      <c r="AF37" s="37">
        <v>164</v>
      </c>
      <c r="AG37" s="35">
        <v>78</v>
      </c>
      <c r="AH37" s="36">
        <v>44</v>
      </c>
      <c r="AI37" s="37">
        <v>111</v>
      </c>
      <c r="AJ37" s="35">
        <v>67</v>
      </c>
      <c r="AK37" s="36">
        <v>177</v>
      </c>
      <c r="AL37" s="37">
        <v>222</v>
      </c>
      <c r="AM37" s="35">
        <v>66</v>
      </c>
      <c r="AN37" s="36">
        <v>71</v>
      </c>
      <c r="AO37" s="37">
        <v>125</v>
      </c>
      <c r="AP37" s="35">
        <v>73</v>
      </c>
      <c r="AQ37" s="36">
        <v>53</v>
      </c>
      <c r="AR37" s="37">
        <v>114</v>
      </c>
    </row>
    <row r="38" spans="2:44">
      <c r="B38" s="33">
        <v>2042</v>
      </c>
      <c r="C38" s="35">
        <v>67</v>
      </c>
      <c r="D38" s="36">
        <v>49</v>
      </c>
      <c r="E38" s="36">
        <v>105</v>
      </c>
      <c r="F38" s="35">
        <v>40</v>
      </c>
      <c r="G38" s="36">
        <v>66</v>
      </c>
      <c r="H38" s="37">
        <v>96</v>
      </c>
      <c r="I38" s="35">
        <v>94</v>
      </c>
      <c r="J38" s="36">
        <v>66</v>
      </c>
      <c r="K38" s="37">
        <v>145</v>
      </c>
      <c r="L38" s="35">
        <v>60</v>
      </c>
      <c r="M38" s="36">
        <v>58</v>
      </c>
      <c r="N38" s="37">
        <v>107</v>
      </c>
      <c r="O38" s="35">
        <v>59</v>
      </c>
      <c r="P38" s="36">
        <v>58</v>
      </c>
      <c r="Q38" s="37">
        <v>106</v>
      </c>
      <c r="R38" s="35">
        <v>64</v>
      </c>
      <c r="S38" s="36">
        <v>66</v>
      </c>
      <c r="T38" s="37">
        <v>118</v>
      </c>
      <c r="U38" s="35">
        <v>64</v>
      </c>
      <c r="V38" s="36">
        <v>66</v>
      </c>
      <c r="W38" s="37">
        <v>118</v>
      </c>
      <c r="X38" s="35">
        <v>76</v>
      </c>
      <c r="Y38" s="36">
        <v>197</v>
      </c>
      <c r="Z38" s="36">
        <v>248</v>
      </c>
      <c r="AA38" s="35">
        <v>66</v>
      </c>
      <c r="AB38" s="36">
        <v>140</v>
      </c>
      <c r="AC38" s="37">
        <v>187</v>
      </c>
      <c r="AD38" s="35">
        <v>69</v>
      </c>
      <c r="AE38" s="36">
        <v>99</v>
      </c>
      <c r="AF38" s="37">
        <v>152</v>
      </c>
      <c r="AG38" s="35">
        <v>73</v>
      </c>
      <c r="AH38" s="36">
        <v>41</v>
      </c>
      <c r="AI38" s="37">
        <v>104</v>
      </c>
      <c r="AJ38" s="35">
        <v>62</v>
      </c>
      <c r="AK38" s="36">
        <v>164</v>
      </c>
      <c r="AL38" s="37">
        <v>206</v>
      </c>
      <c r="AM38" s="35">
        <v>62</v>
      </c>
      <c r="AN38" s="36">
        <v>66</v>
      </c>
      <c r="AO38" s="37">
        <v>116</v>
      </c>
      <c r="AP38" s="35">
        <v>68</v>
      </c>
      <c r="AQ38" s="36">
        <v>49</v>
      </c>
      <c r="AR38" s="37">
        <v>106</v>
      </c>
    </row>
    <row r="39" spans="2:44">
      <c r="B39" s="33">
        <v>2043</v>
      </c>
      <c r="C39" s="35">
        <v>62</v>
      </c>
      <c r="D39" s="36">
        <v>44</v>
      </c>
      <c r="E39" s="36">
        <v>96</v>
      </c>
      <c r="F39" s="35">
        <v>37</v>
      </c>
      <c r="G39" s="36">
        <v>61</v>
      </c>
      <c r="H39" s="37">
        <v>89</v>
      </c>
      <c r="I39" s="35">
        <v>86</v>
      </c>
      <c r="J39" s="36">
        <v>61</v>
      </c>
      <c r="K39" s="37">
        <v>134</v>
      </c>
      <c r="L39" s="35">
        <v>56</v>
      </c>
      <c r="M39" s="36">
        <v>53</v>
      </c>
      <c r="N39" s="37">
        <v>99</v>
      </c>
      <c r="O39" s="35">
        <v>55</v>
      </c>
      <c r="P39" s="36">
        <v>53</v>
      </c>
      <c r="Q39" s="37">
        <v>98</v>
      </c>
      <c r="R39" s="35">
        <v>59</v>
      </c>
      <c r="S39" s="36">
        <v>61</v>
      </c>
      <c r="T39" s="37">
        <v>109</v>
      </c>
      <c r="U39" s="35">
        <v>60</v>
      </c>
      <c r="V39" s="36">
        <v>61</v>
      </c>
      <c r="W39" s="37">
        <v>109</v>
      </c>
      <c r="X39" s="35">
        <v>70</v>
      </c>
      <c r="Y39" s="36">
        <v>182</v>
      </c>
      <c r="Z39" s="36">
        <v>229</v>
      </c>
      <c r="AA39" s="35">
        <v>60</v>
      </c>
      <c r="AB39" s="36">
        <v>129</v>
      </c>
      <c r="AC39" s="37">
        <v>172</v>
      </c>
      <c r="AD39" s="35">
        <v>64</v>
      </c>
      <c r="AE39" s="36">
        <v>91</v>
      </c>
      <c r="AF39" s="37">
        <v>141</v>
      </c>
      <c r="AG39" s="35">
        <v>67</v>
      </c>
      <c r="AH39" s="36">
        <v>38</v>
      </c>
      <c r="AI39" s="37">
        <v>96</v>
      </c>
      <c r="AJ39" s="35">
        <v>58</v>
      </c>
      <c r="AK39" s="36">
        <v>152</v>
      </c>
      <c r="AL39" s="37">
        <v>190</v>
      </c>
      <c r="AM39" s="35">
        <v>57</v>
      </c>
      <c r="AN39" s="36">
        <v>61</v>
      </c>
      <c r="AO39" s="37">
        <v>107</v>
      </c>
      <c r="AP39" s="35">
        <v>62</v>
      </c>
      <c r="AQ39" s="36">
        <v>46</v>
      </c>
      <c r="AR39" s="37">
        <v>98</v>
      </c>
    </row>
    <row r="40" spans="2:44">
      <c r="B40" s="33">
        <v>2044</v>
      </c>
      <c r="C40" s="35">
        <v>56</v>
      </c>
      <c r="D40" s="36">
        <v>40</v>
      </c>
      <c r="E40" s="36">
        <v>87</v>
      </c>
      <c r="F40" s="35">
        <v>34</v>
      </c>
      <c r="G40" s="36">
        <v>56</v>
      </c>
      <c r="H40" s="37">
        <v>82</v>
      </c>
      <c r="I40" s="35">
        <v>79</v>
      </c>
      <c r="J40" s="36">
        <v>56</v>
      </c>
      <c r="K40" s="37">
        <v>123</v>
      </c>
      <c r="L40" s="35">
        <v>51</v>
      </c>
      <c r="M40" s="36">
        <v>49</v>
      </c>
      <c r="N40" s="37">
        <v>91</v>
      </c>
      <c r="O40" s="35">
        <v>50</v>
      </c>
      <c r="P40" s="36">
        <v>49</v>
      </c>
      <c r="Q40" s="37">
        <v>90</v>
      </c>
      <c r="R40" s="35">
        <v>54</v>
      </c>
      <c r="S40" s="36">
        <v>56</v>
      </c>
      <c r="T40" s="37">
        <v>100</v>
      </c>
      <c r="U40" s="35">
        <v>54</v>
      </c>
      <c r="V40" s="36">
        <v>56</v>
      </c>
      <c r="W40" s="37">
        <v>100</v>
      </c>
      <c r="X40" s="35">
        <v>64</v>
      </c>
      <c r="Y40" s="36">
        <v>167</v>
      </c>
      <c r="Z40" s="36">
        <v>210</v>
      </c>
      <c r="AA40" s="35">
        <v>55</v>
      </c>
      <c r="AB40" s="36">
        <v>118</v>
      </c>
      <c r="AC40" s="37">
        <v>158</v>
      </c>
      <c r="AD40" s="35">
        <v>58</v>
      </c>
      <c r="AE40" s="36">
        <v>84</v>
      </c>
      <c r="AF40" s="37">
        <v>129</v>
      </c>
      <c r="AG40" s="35">
        <v>62</v>
      </c>
      <c r="AH40" s="36">
        <v>35</v>
      </c>
      <c r="AI40" s="37">
        <v>88</v>
      </c>
      <c r="AJ40" s="35">
        <v>53</v>
      </c>
      <c r="AK40" s="36">
        <v>139</v>
      </c>
      <c r="AL40" s="37">
        <v>175</v>
      </c>
      <c r="AM40" s="35">
        <v>52</v>
      </c>
      <c r="AN40" s="36">
        <v>56</v>
      </c>
      <c r="AO40" s="37">
        <v>98</v>
      </c>
      <c r="AP40" s="35">
        <v>57</v>
      </c>
      <c r="AQ40" s="36">
        <v>42</v>
      </c>
      <c r="AR40" s="37">
        <v>90</v>
      </c>
    </row>
    <row r="41" spans="2:44">
      <c r="B41" s="33">
        <v>2045</v>
      </c>
      <c r="C41" s="35">
        <v>50</v>
      </c>
      <c r="D41" s="36">
        <v>36</v>
      </c>
      <c r="E41" s="36">
        <v>78</v>
      </c>
      <c r="F41" s="35">
        <v>31</v>
      </c>
      <c r="G41" s="36">
        <v>51</v>
      </c>
      <c r="H41" s="37">
        <v>74</v>
      </c>
      <c r="I41" s="35">
        <v>72</v>
      </c>
      <c r="J41" s="36">
        <v>51</v>
      </c>
      <c r="K41" s="37">
        <v>112</v>
      </c>
      <c r="L41" s="35">
        <v>46</v>
      </c>
      <c r="M41" s="36">
        <v>44</v>
      </c>
      <c r="N41" s="37">
        <v>82</v>
      </c>
      <c r="O41" s="35">
        <v>46</v>
      </c>
      <c r="P41" s="36">
        <v>44</v>
      </c>
      <c r="Q41" s="37">
        <v>82</v>
      </c>
      <c r="R41" s="35">
        <v>50</v>
      </c>
      <c r="S41" s="36">
        <v>51</v>
      </c>
      <c r="T41" s="37">
        <v>91</v>
      </c>
      <c r="U41" s="35">
        <v>50</v>
      </c>
      <c r="V41" s="36">
        <v>51</v>
      </c>
      <c r="W41" s="37">
        <v>91</v>
      </c>
      <c r="X41" s="35">
        <v>58</v>
      </c>
      <c r="Y41" s="36">
        <v>152</v>
      </c>
      <c r="Z41" s="36">
        <v>191</v>
      </c>
      <c r="AA41" s="35">
        <v>50</v>
      </c>
      <c r="AB41" s="36">
        <v>108</v>
      </c>
      <c r="AC41" s="37">
        <v>144</v>
      </c>
      <c r="AD41" s="35">
        <v>53</v>
      </c>
      <c r="AE41" s="36">
        <v>76</v>
      </c>
      <c r="AF41" s="37">
        <v>117</v>
      </c>
      <c r="AG41" s="35">
        <v>56</v>
      </c>
      <c r="AH41" s="36">
        <v>32</v>
      </c>
      <c r="AI41" s="37">
        <v>80</v>
      </c>
      <c r="AJ41" s="35">
        <v>48</v>
      </c>
      <c r="AK41" s="36">
        <v>126</v>
      </c>
      <c r="AL41" s="37">
        <v>159</v>
      </c>
      <c r="AM41" s="35">
        <v>47</v>
      </c>
      <c r="AN41" s="36">
        <v>51</v>
      </c>
      <c r="AO41" s="37">
        <v>89</v>
      </c>
      <c r="AP41" s="35">
        <v>52</v>
      </c>
      <c r="AQ41" s="36">
        <v>38</v>
      </c>
      <c r="AR41" s="37">
        <v>82</v>
      </c>
    </row>
    <row r="42" spans="2:44">
      <c r="B42" s="33">
        <v>2046</v>
      </c>
      <c r="C42" s="35">
        <v>44</v>
      </c>
      <c r="D42" s="36">
        <v>32</v>
      </c>
      <c r="E42" s="36">
        <v>70</v>
      </c>
      <c r="F42" s="35">
        <v>28</v>
      </c>
      <c r="G42" s="36">
        <v>46</v>
      </c>
      <c r="H42" s="37">
        <v>67</v>
      </c>
      <c r="I42" s="35">
        <v>65</v>
      </c>
      <c r="J42" s="36">
        <v>46</v>
      </c>
      <c r="K42" s="37">
        <v>100</v>
      </c>
      <c r="L42" s="35">
        <v>42</v>
      </c>
      <c r="M42" s="36">
        <v>40</v>
      </c>
      <c r="N42" s="37">
        <v>74</v>
      </c>
      <c r="O42" s="35">
        <v>41</v>
      </c>
      <c r="P42" s="36">
        <v>40</v>
      </c>
      <c r="Q42" s="37">
        <v>74</v>
      </c>
      <c r="R42" s="35">
        <v>44</v>
      </c>
      <c r="S42" s="36">
        <v>46</v>
      </c>
      <c r="T42" s="37">
        <v>82</v>
      </c>
      <c r="U42" s="35">
        <v>45</v>
      </c>
      <c r="V42" s="36">
        <v>46</v>
      </c>
      <c r="W42" s="37">
        <v>82</v>
      </c>
      <c r="X42" s="35">
        <v>52</v>
      </c>
      <c r="Y42" s="36">
        <v>137</v>
      </c>
      <c r="Z42" s="36">
        <v>172</v>
      </c>
      <c r="AA42" s="35">
        <v>45</v>
      </c>
      <c r="AB42" s="36">
        <v>97</v>
      </c>
      <c r="AC42" s="37">
        <v>129</v>
      </c>
      <c r="AD42" s="35">
        <v>48</v>
      </c>
      <c r="AE42" s="36">
        <v>68</v>
      </c>
      <c r="AF42" s="37">
        <v>105</v>
      </c>
      <c r="AG42" s="35">
        <v>50</v>
      </c>
      <c r="AH42" s="36">
        <v>28</v>
      </c>
      <c r="AI42" s="37">
        <v>72</v>
      </c>
      <c r="AJ42" s="35">
        <v>43</v>
      </c>
      <c r="AK42" s="36">
        <v>114</v>
      </c>
      <c r="AL42" s="37">
        <v>143</v>
      </c>
      <c r="AM42" s="35">
        <v>43</v>
      </c>
      <c r="AN42" s="36">
        <v>46</v>
      </c>
      <c r="AO42" s="37">
        <v>80</v>
      </c>
      <c r="AP42" s="35">
        <v>47</v>
      </c>
      <c r="AQ42" s="36">
        <v>34</v>
      </c>
      <c r="AR42" s="37">
        <v>74</v>
      </c>
    </row>
    <row r="43" spans="2:44">
      <c r="B43" s="33">
        <v>2047</v>
      </c>
      <c r="C43" s="35">
        <v>39</v>
      </c>
      <c r="D43" s="36">
        <v>28</v>
      </c>
      <c r="E43" s="36">
        <v>61</v>
      </c>
      <c r="F43" s="35">
        <v>25</v>
      </c>
      <c r="G43" s="36">
        <v>40</v>
      </c>
      <c r="H43" s="37">
        <v>59</v>
      </c>
      <c r="I43" s="35">
        <v>58</v>
      </c>
      <c r="J43" s="36">
        <v>40</v>
      </c>
      <c r="K43" s="37">
        <v>89</v>
      </c>
      <c r="L43" s="35">
        <v>37</v>
      </c>
      <c r="M43" s="36">
        <v>35</v>
      </c>
      <c r="N43" s="37">
        <v>66</v>
      </c>
      <c r="O43" s="35">
        <v>36</v>
      </c>
      <c r="P43" s="36">
        <v>35</v>
      </c>
      <c r="Q43" s="37">
        <v>65</v>
      </c>
      <c r="R43" s="35">
        <v>40</v>
      </c>
      <c r="S43" s="36">
        <v>40</v>
      </c>
      <c r="T43" s="37">
        <v>73</v>
      </c>
      <c r="U43" s="35">
        <v>40</v>
      </c>
      <c r="V43" s="36">
        <v>40</v>
      </c>
      <c r="W43" s="37">
        <v>73</v>
      </c>
      <c r="X43" s="35">
        <v>47</v>
      </c>
      <c r="Y43" s="36">
        <v>121</v>
      </c>
      <c r="Z43" s="36">
        <v>153</v>
      </c>
      <c r="AA43" s="35">
        <v>40</v>
      </c>
      <c r="AB43" s="36">
        <v>86</v>
      </c>
      <c r="AC43" s="37">
        <v>115</v>
      </c>
      <c r="AD43" s="35">
        <v>42</v>
      </c>
      <c r="AE43" s="36">
        <v>61</v>
      </c>
      <c r="AF43" s="37">
        <v>94</v>
      </c>
      <c r="AG43" s="35">
        <v>45</v>
      </c>
      <c r="AH43" s="36">
        <v>25</v>
      </c>
      <c r="AI43" s="37">
        <v>64</v>
      </c>
      <c r="AJ43" s="35">
        <v>38</v>
      </c>
      <c r="AK43" s="36">
        <v>101</v>
      </c>
      <c r="AL43" s="37">
        <v>127</v>
      </c>
      <c r="AM43" s="35">
        <v>38</v>
      </c>
      <c r="AN43" s="36">
        <v>40</v>
      </c>
      <c r="AO43" s="37">
        <v>71</v>
      </c>
      <c r="AP43" s="35">
        <v>42</v>
      </c>
      <c r="AQ43" s="36">
        <v>30</v>
      </c>
      <c r="AR43" s="37">
        <v>65</v>
      </c>
    </row>
    <row r="44" spans="2:44">
      <c r="B44" s="33">
        <v>2048</v>
      </c>
      <c r="C44" s="35">
        <v>33</v>
      </c>
      <c r="D44" s="36">
        <v>24</v>
      </c>
      <c r="E44" s="36">
        <v>52</v>
      </c>
      <c r="F44" s="35">
        <v>22</v>
      </c>
      <c r="G44" s="36">
        <v>35</v>
      </c>
      <c r="H44" s="37">
        <v>52</v>
      </c>
      <c r="I44" s="35">
        <v>50</v>
      </c>
      <c r="J44" s="36">
        <v>35</v>
      </c>
      <c r="K44" s="37">
        <v>78</v>
      </c>
      <c r="L44" s="35">
        <v>32</v>
      </c>
      <c r="M44" s="36">
        <v>31</v>
      </c>
      <c r="N44" s="37">
        <v>58</v>
      </c>
      <c r="O44" s="35">
        <v>32</v>
      </c>
      <c r="P44" s="36">
        <v>31</v>
      </c>
      <c r="Q44" s="37">
        <v>57</v>
      </c>
      <c r="R44" s="35">
        <v>35</v>
      </c>
      <c r="S44" s="36">
        <v>35</v>
      </c>
      <c r="T44" s="37">
        <v>64</v>
      </c>
      <c r="U44" s="35">
        <v>35</v>
      </c>
      <c r="V44" s="36">
        <v>35</v>
      </c>
      <c r="W44" s="37">
        <v>64</v>
      </c>
      <c r="X44" s="35">
        <v>41</v>
      </c>
      <c r="Y44" s="36">
        <v>106</v>
      </c>
      <c r="Z44" s="36">
        <v>134</v>
      </c>
      <c r="AA44" s="35">
        <v>35</v>
      </c>
      <c r="AB44" s="36">
        <v>75</v>
      </c>
      <c r="AC44" s="37">
        <v>100</v>
      </c>
      <c r="AD44" s="35">
        <v>37</v>
      </c>
      <c r="AE44" s="36">
        <v>53</v>
      </c>
      <c r="AF44" s="37">
        <v>82</v>
      </c>
      <c r="AG44" s="35">
        <v>39</v>
      </c>
      <c r="AH44" s="36">
        <v>22</v>
      </c>
      <c r="AI44" s="37">
        <v>56</v>
      </c>
      <c r="AJ44" s="35">
        <v>34</v>
      </c>
      <c r="AK44" s="36">
        <v>88</v>
      </c>
      <c r="AL44" s="37">
        <v>111</v>
      </c>
      <c r="AM44" s="35">
        <v>33</v>
      </c>
      <c r="AN44" s="36">
        <v>35</v>
      </c>
      <c r="AO44" s="37">
        <v>62</v>
      </c>
      <c r="AP44" s="35">
        <v>36</v>
      </c>
      <c r="AQ44" s="36">
        <v>27</v>
      </c>
      <c r="AR44" s="37">
        <v>57</v>
      </c>
    </row>
    <row r="45" spans="2:44">
      <c r="B45" s="33">
        <v>2049</v>
      </c>
      <c r="C45" s="35">
        <v>27</v>
      </c>
      <c r="D45" s="36">
        <v>20</v>
      </c>
      <c r="E45" s="36">
        <v>43</v>
      </c>
      <c r="F45" s="35">
        <v>19</v>
      </c>
      <c r="G45" s="36">
        <v>30</v>
      </c>
      <c r="H45" s="37">
        <v>44</v>
      </c>
      <c r="I45" s="35">
        <v>43</v>
      </c>
      <c r="J45" s="36">
        <v>30</v>
      </c>
      <c r="K45" s="37">
        <v>67</v>
      </c>
      <c r="L45" s="35">
        <v>28</v>
      </c>
      <c r="M45" s="36">
        <v>27</v>
      </c>
      <c r="N45" s="37">
        <v>49</v>
      </c>
      <c r="O45" s="35">
        <v>27</v>
      </c>
      <c r="P45" s="36">
        <v>27</v>
      </c>
      <c r="Q45" s="37">
        <v>49</v>
      </c>
      <c r="R45" s="35">
        <v>30</v>
      </c>
      <c r="S45" s="36">
        <v>30</v>
      </c>
      <c r="T45" s="37">
        <v>55</v>
      </c>
      <c r="U45" s="35">
        <v>30</v>
      </c>
      <c r="V45" s="36">
        <v>30</v>
      </c>
      <c r="W45" s="37">
        <v>55</v>
      </c>
      <c r="X45" s="35">
        <v>35</v>
      </c>
      <c r="Y45" s="36">
        <v>91</v>
      </c>
      <c r="Z45" s="36">
        <v>115</v>
      </c>
      <c r="AA45" s="35">
        <v>30</v>
      </c>
      <c r="AB45" s="36">
        <v>64</v>
      </c>
      <c r="AC45" s="37">
        <v>86</v>
      </c>
      <c r="AD45" s="35">
        <v>32</v>
      </c>
      <c r="AE45" s="36">
        <v>46</v>
      </c>
      <c r="AF45" s="37">
        <v>70</v>
      </c>
      <c r="AG45" s="35">
        <v>34</v>
      </c>
      <c r="AH45" s="36">
        <v>19</v>
      </c>
      <c r="AI45" s="37">
        <v>48</v>
      </c>
      <c r="AJ45" s="35">
        <v>29</v>
      </c>
      <c r="AK45" s="36">
        <v>76</v>
      </c>
      <c r="AL45" s="37">
        <v>95</v>
      </c>
      <c r="AM45" s="35">
        <v>28</v>
      </c>
      <c r="AN45" s="36">
        <v>30</v>
      </c>
      <c r="AO45" s="37">
        <v>53</v>
      </c>
      <c r="AP45" s="35">
        <v>31</v>
      </c>
      <c r="AQ45" s="36">
        <v>23</v>
      </c>
      <c r="AR45" s="37">
        <v>49</v>
      </c>
    </row>
    <row r="46" spans="2:44">
      <c r="B46" s="34">
        <v>2050</v>
      </c>
      <c r="C46" s="38">
        <v>21</v>
      </c>
      <c r="D46" s="39">
        <v>16</v>
      </c>
      <c r="E46" s="39">
        <v>34</v>
      </c>
      <c r="F46" s="38">
        <v>36</v>
      </c>
      <c r="G46" s="39">
        <v>25</v>
      </c>
      <c r="H46" s="40">
        <v>56</v>
      </c>
      <c r="I46" s="38">
        <v>23</v>
      </c>
      <c r="J46" s="39">
        <v>22</v>
      </c>
      <c r="K46" s="40">
        <v>41</v>
      </c>
      <c r="L46" s="38">
        <v>23</v>
      </c>
      <c r="M46" s="39">
        <v>22</v>
      </c>
      <c r="N46" s="40">
        <v>41</v>
      </c>
      <c r="O46" s="38">
        <v>25</v>
      </c>
      <c r="P46" s="39">
        <v>25</v>
      </c>
      <c r="Q46" s="40">
        <v>46</v>
      </c>
      <c r="R46" s="38">
        <v>25</v>
      </c>
      <c r="S46" s="39">
        <v>25</v>
      </c>
      <c r="T46" s="40">
        <v>46</v>
      </c>
      <c r="U46" s="38">
        <v>29</v>
      </c>
      <c r="V46" s="39">
        <v>76</v>
      </c>
      <c r="W46" s="40">
        <v>96</v>
      </c>
      <c r="X46" s="38">
        <v>29</v>
      </c>
      <c r="Y46" s="39">
        <v>76</v>
      </c>
      <c r="Z46" s="39">
        <v>96</v>
      </c>
      <c r="AA46" s="38">
        <v>25</v>
      </c>
      <c r="AB46" s="39">
        <v>54</v>
      </c>
      <c r="AC46" s="40">
        <v>72</v>
      </c>
      <c r="AD46" s="38">
        <v>26</v>
      </c>
      <c r="AE46" s="39">
        <v>38</v>
      </c>
      <c r="AF46" s="40">
        <v>59</v>
      </c>
      <c r="AG46" s="38">
        <v>28</v>
      </c>
      <c r="AH46" s="39">
        <v>16</v>
      </c>
      <c r="AI46" s="40">
        <v>40</v>
      </c>
      <c r="AJ46" s="38">
        <v>24</v>
      </c>
      <c r="AK46" s="39">
        <v>63</v>
      </c>
      <c r="AL46" s="40">
        <v>79</v>
      </c>
      <c r="AM46" s="38">
        <v>24</v>
      </c>
      <c r="AN46" s="39">
        <v>25</v>
      </c>
      <c r="AO46" s="40">
        <v>44</v>
      </c>
      <c r="AP46" s="38">
        <v>26</v>
      </c>
      <c r="AQ46" s="39">
        <v>19</v>
      </c>
      <c r="AR46" s="40">
        <v>41</v>
      </c>
    </row>
    <row r="51" spans="2:11" ht="21">
      <c r="B51" s="94" t="s">
        <v>536</v>
      </c>
    </row>
    <row r="52" spans="2:11" s="5" customFormat="1">
      <c r="B52" s="96"/>
      <c r="C52" s="857" t="str">
        <f>C53</f>
        <v>Bygget samlet</v>
      </c>
      <c r="D52" s="857"/>
      <c r="E52" s="857" t="str">
        <f>E53</f>
        <v>Kontor</v>
      </c>
      <c r="F52" s="857"/>
      <c r="G52" s="857" t="str">
        <f>G53</f>
        <v>Velg bygningstype</v>
      </c>
      <c r="H52" s="857"/>
      <c r="I52" s="857" t="str">
        <f>I53</f>
        <v>Velg bygningstype</v>
      </c>
      <c r="J52" s="857"/>
      <c r="K52" s="1"/>
    </row>
    <row r="53" spans="2:11">
      <c r="B53" s="63" t="s">
        <v>493</v>
      </c>
      <c r="C53" s="95" t="str">
        <f>'ZERO-B Beregning'!G23</f>
        <v>Bygget samlet</v>
      </c>
      <c r="D53" s="95" t="s">
        <v>537</v>
      </c>
      <c r="E53" s="95" t="str">
        <f>'ZERO-B Beregning'!D24</f>
        <v>Kontor</v>
      </c>
      <c r="F53" s="95" t="s">
        <v>537</v>
      </c>
      <c r="G53" s="95" t="str">
        <f>'ZERO-B Beregning'!E24</f>
        <v>Velg bygningstype</v>
      </c>
      <c r="H53" s="95" t="s">
        <v>537</v>
      </c>
      <c r="I53" s="95" t="str">
        <f>'ZERO-B Beregning'!F24</f>
        <v>Velg bygningstype</v>
      </c>
      <c r="J53" s="95" t="s">
        <v>537</v>
      </c>
    </row>
    <row r="54" spans="2:11">
      <c r="B54" s="62">
        <v>2020</v>
      </c>
      <c r="C54" s="68">
        <f>(E54*'ZERO-B Beregning'!$D$25+'Verdier kravsnivå'!G54*'ZERO-B Beregning'!$E$25+'Verdier kravsnivå'!I54*'ZERO-B Beregning'!$F$25)/'ZERO-B Beregning'!$G$25</f>
        <v>455</v>
      </c>
      <c r="D54" s="74">
        <f t="shared" ref="D54:D84" si="0">C54*2</f>
        <v>910</v>
      </c>
      <c r="E54" s="69">
        <f>IFERROR(INDEX(Totalutslipp[#All], MATCH(B54, Totalutslipp[[#All],[År]], 0), MATCH($E$53, Totalutslipp[#Headers], 0)), "0")</f>
        <v>455</v>
      </c>
      <c r="F54" s="70">
        <f t="shared" ref="F54:F84" si="1">E54*2</f>
        <v>910</v>
      </c>
      <c r="G54" s="69" t="str">
        <f>IFERROR(INDEX(Totalutslipp[#All], MATCH(B54, Totalutslipp[[#All],[År]], 0), MATCH($G$53, Totalutslipp[#Headers], 0)), "0")</f>
        <v>0</v>
      </c>
      <c r="H54" s="70">
        <f t="shared" ref="H54:H84" si="2">G54*2</f>
        <v>0</v>
      </c>
      <c r="I54" s="69" t="str">
        <f>IFERROR(INDEX(Totalutslipp[#All], MATCH(B54, Totalutslipp[[#All],[År]], 0), MATCH($I$53, Totalutslipp[#Headers], 0)), "0")</f>
        <v>0</v>
      </c>
      <c r="J54" s="70">
        <f t="shared" ref="J54:J84" si="3">I54*2</f>
        <v>0</v>
      </c>
    </row>
    <row r="55" spans="2:11">
      <c r="B55" s="62">
        <v>2021</v>
      </c>
      <c r="C55" s="68">
        <f>(E55*'ZERO-B Beregning'!$D$25+'Verdier kravsnivå'!G55*'ZERO-B Beregning'!$E$25+'Verdier kravsnivå'!I55*'ZERO-B Beregning'!$F$25)/'ZERO-B Beregning'!$G$25</f>
        <v>432</v>
      </c>
      <c r="D55" s="74">
        <f t="shared" si="0"/>
        <v>864</v>
      </c>
      <c r="E55" s="69">
        <f>IFERROR(INDEX(Totalutslipp[#All], MATCH(B55, Totalutslipp[[#All],[År]], 0), MATCH($E$53, Totalutslipp[#Headers], 0)), "0")</f>
        <v>432</v>
      </c>
      <c r="F55" s="70">
        <f t="shared" si="1"/>
        <v>864</v>
      </c>
      <c r="G55" s="69" t="str">
        <f>IFERROR(INDEX(Totalutslipp[#All], MATCH(B55, Totalutslipp[[#All],[År]], 0), MATCH($G$53, Totalutslipp[#Headers], 0)), "0")</f>
        <v>0</v>
      </c>
      <c r="H55" s="70">
        <f t="shared" si="2"/>
        <v>0</v>
      </c>
      <c r="I55" s="69" t="str">
        <f>IFERROR(INDEX(Totalutslipp[#All], MATCH(B55, Totalutslipp[[#All],[År]], 0), MATCH($I$53, Totalutslipp[#Headers], 0)), "0")</f>
        <v>0</v>
      </c>
      <c r="J55" s="70">
        <f t="shared" si="3"/>
        <v>0</v>
      </c>
    </row>
    <row r="56" spans="2:11">
      <c r="B56" s="62">
        <v>2022</v>
      </c>
      <c r="C56" s="68">
        <f>(E56*'ZERO-B Beregning'!$D$25+'Verdier kravsnivå'!G56*'ZERO-B Beregning'!$E$25+'Verdier kravsnivå'!I56*'ZERO-B Beregning'!$F$25)/'ZERO-B Beregning'!$G$25</f>
        <v>409</v>
      </c>
      <c r="D56" s="74">
        <f t="shared" si="0"/>
        <v>818</v>
      </c>
      <c r="E56" s="69">
        <f>IFERROR(INDEX(Totalutslipp[#All], MATCH(B56, Totalutslipp[[#All],[År]], 0), MATCH($E$53, Totalutslipp[#Headers], 0)), "0")</f>
        <v>409</v>
      </c>
      <c r="F56" s="70">
        <f t="shared" si="1"/>
        <v>818</v>
      </c>
      <c r="G56" s="69" t="str">
        <f>IFERROR(INDEX(Totalutslipp[#All], MATCH(B56, Totalutslipp[[#All],[År]], 0), MATCH($G$53, Totalutslipp[#Headers], 0)), "0")</f>
        <v>0</v>
      </c>
      <c r="H56" s="70">
        <f t="shared" si="2"/>
        <v>0</v>
      </c>
      <c r="I56" s="69" t="str">
        <f>IFERROR(INDEX(Totalutslipp[#All], MATCH(B56, Totalutslipp[[#All],[År]], 0), MATCH($I$53, Totalutslipp[#Headers], 0)), "0")</f>
        <v>0</v>
      </c>
      <c r="J56" s="70">
        <f t="shared" si="3"/>
        <v>0</v>
      </c>
    </row>
    <row r="57" spans="2:11">
      <c r="B57" s="62">
        <v>2023</v>
      </c>
      <c r="C57" s="68">
        <f>(E57*'ZERO-B Beregning'!$D$25+'Verdier kravsnivå'!G57*'ZERO-B Beregning'!$E$25+'Verdier kravsnivå'!I57*'ZERO-B Beregning'!$F$25)/'ZERO-B Beregning'!$G$25</f>
        <v>387</v>
      </c>
      <c r="D57" s="74">
        <f t="shared" si="0"/>
        <v>774</v>
      </c>
      <c r="E57" s="69">
        <f>IFERROR(INDEX(Totalutslipp[#All], MATCH(B57, Totalutslipp[[#All],[År]], 0), MATCH($E$53, Totalutslipp[#Headers], 0)), "0")</f>
        <v>387</v>
      </c>
      <c r="F57" s="70">
        <f t="shared" si="1"/>
        <v>774</v>
      </c>
      <c r="G57" s="69" t="str">
        <f>IFERROR(INDEX(Totalutslipp[#All], MATCH(B57, Totalutslipp[[#All],[År]], 0), MATCH($G$53, Totalutslipp[#Headers], 0)), "0")</f>
        <v>0</v>
      </c>
      <c r="H57" s="70">
        <f t="shared" si="2"/>
        <v>0</v>
      </c>
      <c r="I57" s="69" t="str">
        <f>IFERROR(INDEX(Totalutslipp[#All], MATCH(B57, Totalutslipp[[#All],[År]], 0), MATCH($I$53, Totalutslipp[#Headers], 0)), "0")</f>
        <v>0</v>
      </c>
      <c r="J57" s="70">
        <f t="shared" si="3"/>
        <v>0</v>
      </c>
    </row>
    <row r="58" spans="2:11">
      <c r="B58" s="62">
        <v>2024</v>
      </c>
      <c r="C58" s="68">
        <f>(E58*'ZERO-B Beregning'!$D$25+'Verdier kravsnivå'!G58*'ZERO-B Beregning'!$E$25+'Verdier kravsnivå'!I58*'ZERO-B Beregning'!$F$25)/'ZERO-B Beregning'!$G$25</f>
        <v>364</v>
      </c>
      <c r="D58" s="74">
        <f t="shared" si="0"/>
        <v>728</v>
      </c>
      <c r="E58" s="69">
        <f>IFERROR(INDEX(Totalutslipp[#All], MATCH(B58, Totalutslipp[[#All],[År]], 0), MATCH($E$53, Totalutslipp[#Headers], 0)), "0")</f>
        <v>364</v>
      </c>
      <c r="F58" s="70">
        <f t="shared" si="1"/>
        <v>728</v>
      </c>
      <c r="G58" s="69" t="str">
        <f>IFERROR(INDEX(Totalutslipp[#All], MATCH(B58, Totalutslipp[[#All],[År]], 0), MATCH($G$53, Totalutslipp[#Headers], 0)), "0")</f>
        <v>0</v>
      </c>
      <c r="H58" s="70">
        <f t="shared" si="2"/>
        <v>0</v>
      </c>
      <c r="I58" s="69" t="str">
        <f>IFERROR(INDEX(Totalutslipp[#All], MATCH(B58, Totalutslipp[[#All],[År]], 0), MATCH($I$53, Totalutslipp[#Headers], 0)), "0")</f>
        <v>0</v>
      </c>
      <c r="J58" s="70">
        <f t="shared" si="3"/>
        <v>0</v>
      </c>
    </row>
    <row r="59" spans="2:11">
      <c r="B59" s="62">
        <v>2025</v>
      </c>
      <c r="C59" s="68">
        <f>(E59*'ZERO-B Beregning'!$D$25+'Verdier kravsnivå'!G59*'ZERO-B Beregning'!$E$25+'Verdier kravsnivå'!I59*'ZERO-B Beregning'!$F$25)/'ZERO-B Beregning'!$G$25</f>
        <v>341</v>
      </c>
      <c r="D59" s="74">
        <f t="shared" si="0"/>
        <v>682</v>
      </c>
      <c r="E59" s="69">
        <f>IFERROR(INDEX(Totalutslipp[#All], MATCH(B59, Totalutslipp[[#All],[År]], 0), MATCH($E$53, Totalutslipp[#Headers], 0)), "0")</f>
        <v>341</v>
      </c>
      <c r="F59" s="70">
        <f t="shared" si="1"/>
        <v>682</v>
      </c>
      <c r="G59" s="69" t="str">
        <f>IFERROR(INDEX(Totalutslipp[#All], MATCH(B59, Totalutslipp[[#All],[År]], 0), MATCH($G$53, Totalutslipp[#Headers], 0)), "0")</f>
        <v>0</v>
      </c>
      <c r="H59" s="70">
        <f t="shared" si="2"/>
        <v>0</v>
      </c>
      <c r="I59" s="69" t="str">
        <f>IFERROR(INDEX(Totalutslipp[#All], MATCH(B59, Totalutslipp[[#All],[År]], 0), MATCH($I$53, Totalutslipp[#Headers], 0)), "0")</f>
        <v>0</v>
      </c>
      <c r="J59" s="70">
        <f t="shared" si="3"/>
        <v>0</v>
      </c>
    </row>
    <row r="60" spans="2:11">
      <c r="B60" s="62">
        <v>2026</v>
      </c>
      <c r="C60" s="68">
        <f>(E60*'ZERO-B Beregning'!$D$25+'Verdier kravsnivå'!G60*'ZERO-B Beregning'!$E$25+'Verdier kravsnivå'!I60*'ZERO-B Beregning'!$F$25)/'ZERO-B Beregning'!$G$25</f>
        <v>318</v>
      </c>
      <c r="D60" s="74">
        <f t="shared" si="0"/>
        <v>636</v>
      </c>
      <c r="E60" s="69">
        <f>IFERROR(INDEX(Totalutslipp[#All], MATCH(B60, Totalutslipp[[#All],[År]], 0), MATCH($E$53, Totalutslipp[#Headers], 0)), "0")</f>
        <v>318</v>
      </c>
      <c r="F60" s="70">
        <f t="shared" si="1"/>
        <v>636</v>
      </c>
      <c r="G60" s="69" t="str">
        <f>IFERROR(INDEX(Totalutslipp[#All], MATCH(B60, Totalutslipp[[#All],[År]], 0), MATCH($G$53, Totalutslipp[#Headers], 0)), "0")</f>
        <v>0</v>
      </c>
      <c r="H60" s="70">
        <f t="shared" si="2"/>
        <v>0</v>
      </c>
      <c r="I60" s="69" t="str">
        <f>IFERROR(INDEX(Totalutslipp[#All], MATCH(B60, Totalutslipp[[#All],[År]], 0), MATCH($I$53, Totalutslipp[#Headers], 0)), "0")</f>
        <v>0</v>
      </c>
      <c r="J60" s="70">
        <f t="shared" si="3"/>
        <v>0</v>
      </c>
    </row>
    <row r="61" spans="2:11">
      <c r="B61" s="62">
        <v>2027</v>
      </c>
      <c r="C61" s="68">
        <f>(E61*'ZERO-B Beregning'!$D$25+'Verdier kravsnivå'!G61*'ZERO-B Beregning'!$E$25+'Verdier kravsnivå'!I61*'ZERO-B Beregning'!$F$25)/'ZERO-B Beregning'!$G$25</f>
        <v>296</v>
      </c>
      <c r="D61" s="74">
        <f t="shared" si="0"/>
        <v>592</v>
      </c>
      <c r="E61" s="69">
        <f>IFERROR(INDEX(Totalutslipp[#All], MATCH(B61, Totalutslipp[[#All],[År]], 0), MATCH($E$53, Totalutslipp[#Headers], 0)), "0")</f>
        <v>296</v>
      </c>
      <c r="F61" s="70">
        <f t="shared" si="1"/>
        <v>592</v>
      </c>
      <c r="G61" s="69" t="str">
        <f>IFERROR(INDEX(Totalutslipp[#All], MATCH(B61, Totalutslipp[[#All],[År]], 0), MATCH($G$53, Totalutslipp[#Headers], 0)), "0")</f>
        <v>0</v>
      </c>
      <c r="H61" s="70">
        <f t="shared" si="2"/>
        <v>0</v>
      </c>
      <c r="I61" s="69" t="str">
        <f>IFERROR(INDEX(Totalutslipp[#All], MATCH(B61, Totalutslipp[[#All],[År]], 0), MATCH($I$53, Totalutslipp[#Headers], 0)), "0")</f>
        <v>0</v>
      </c>
      <c r="J61" s="70">
        <f t="shared" si="3"/>
        <v>0</v>
      </c>
    </row>
    <row r="62" spans="2:11">
      <c r="B62" s="62">
        <v>2028</v>
      </c>
      <c r="C62" s="68">
        <f>(E62*'ZERO-B Beregning'!$D$25+'Verdier kravsnivå'!G62*'ZERO-B Beregning'!$E$25+'Verdier kravsnivå'!I62*'ZERO-B Beregning'!$F$25)/'ZERO-B Beregning'!$G$25</f>
        <v>273</v>
      </c>
      <c r="D62" s="74">
        <f t="shared" si="0"/>
        <v>546</v>
      </c>
      <c r="E62" s="69">
        <f>IFERROR(INDEX(Totalutslipp[#All], MATCH(B62, Totalutslipp[[#All],[År]], 0), MATCH($E$53, Totalutslipp[#Headers], 0)), "0")</f>
        <v>273</v>
      </c>
      <c r="F62" s="70">
        <f t="shared" si="1"/>
        <v>546</v>
      </c>
      <c r="G62" s="69" t="str">
        <f>IFERROR(INDEX(Totalutslipp[#All], MATCH(B62, Totalutslipp[[#All],[År]], 0), MATCH($G$53, Totalutslipp[#Headers], 0)), "0")</f>
        <v>0</v>
      </c>
      <c r="H62" s="70">
        <f t="shared" si="2"/>
        <v>0</v>
      </c>
      <c r="I62" s="69" t="str">
        <f>IFERROR(INDEX(Totalutslipp[#All], MATCH(B62, Totalutslipp[[#All],[År]], 0), MATCH($I$53, Totalutslipp[#Headers], 0)), "0")</f>
        <v>0</v>
      </c>
      <c r="J62" s="70">
        <f t="shared" si="3"/>
        <v>0</v>
      </c>
    </row>
    <row r="63" spans="2:11">
      <c r="B63" s="62">
        <v>2029</v>
      </c>
      <c r="C63" s="68">
        <f>(E63*'ZERO-B Beregning'!$D$25+'Verdier kravsnivå'!G63*'ZERO-B Beregning'!$E$25+'Verdier kravsnivå'!I63*'ZERO-B Beregning'!$F$25)/'ZERO-B Beregning'!$G$25</f>
        <v>250</v>
      </c>
      <c r="D63" s="74">
        <f t="shared" si="0"/>
        <v>500</v>
      </c>
      <c r="E63" s="69">
        <f>IFERROR(INDEX(Totalutslipp[#All], MATCH(B63, Totalutslipp[[#All],[År]], 0), MATCH($E$53, Totalutslipp[#Headers], 0)), "0")</f>
        <v>250</v>
      </c>
      <c r="F63" s="70">
        <f t="shared" si="1"/>
        <v>500</v>
      </c>
      <c r="G63" s="69" t="str">
        <f>IFERROR(INDEX(Totalutslipp[#All], MATCH(B63, Totalutslipp[[#All],[År]], 0), MATCH($G$53, Totalutslipp[#Headers], 0)), "0")</f>
        <v>0</v>
      </c>
      <c r="H63" s="70">
        <f t="shared" si="2"/>
        <v>0</v>
      </c>
      <c r="I63" s="69" t="str">
        <f>IFERROR(INDEX(Totalutslipp[#All], MATCH(B63, Totalutslipp[[#All],[År]], 0), MATCH($I$53, Totalutslipp[#Headers], 0)), "0")</f>
        <v>0</v>
      </c>
      <c r="J63" s="70">
        <f t="shared" si="3"/>
        <v>0</v>
      </c>
    </row>
    <row r="64" spans="2:11">
      <c r="B64" s="62">
        <v>2030</v>
      </c>
      <c r="C64" s="68">
        <f>(E64*'ZERO-B Beregning'!$D$25+'Verdier kravsnivå'!G64*'ZERO-B Beregning'!$E$25+'Verdier kravsnivå'!I64*'ZERO-B Beregning'!$F$25)/'ZERO-B Beregning'!$G$25</f>
        <v>227</v>
      </c>
      <c r="D64" s="74">
        <f t="shared" si="0"/>
        <v>454</v>
      </c>
      <c r="E64" s="69">
        <f>IFERROR(INDEX(Totalutslipp[#All], MATCH(B64, Totalutslipp[[#All],[År]], 0), MATCH($E$53, Totalutslipp[#Headers], 0)), "0")</f>
        <v>227</v>
      </c>
      <c r="F64" s="70">
        <f t="shared" si="1"/>
        <v>454</v>
      </c>
      <c r="G64" s="69" t="str">
        <f>IFERROR(INDEX(Totalutslipp[#All], MATCH(B64, Totalutslipp[[#All],[År]], 0), MATCH($G$53, Totalutslipp[#Headers], 0)), "0")</f>
        <v>0</v>
      </c>
      <c r="H64" s="70">
        <f t="shared" si="2"/>
        <v>0</v>
      </c>
      <c r="I64" s="69" t="str">
        <f>IFERROR(INDEX(Totalutslipp[#All], MATCH(B64, Totalutslipp[[#All],[År]], 0), MATCH($I$53, Totalutslipp[#Headers], 0)), "0")</f>
        <v>0</v>
      </c>
      <c r="J64" s="70">
        <f t="shared" si="3"/>
        <v>0</v>
      </c>
    </row>
    <row r="65" spans="2:10">
      <c r="B65" s="62">
        <v>2031</v>
      </c>
      <c r="C65" s="68">
        <f>(E65*'ZERO-B Beregning'!$D$25+'Verdier kravsnivå'!G65*'ZERO-B Beregning'!$E$25+'Verdier kravsnivå'!I65*'ZERO-B Beregning'!$F$25)/'ZERO-B Beregning'!$G$25</f>
        <v>218</v>
      </c>
      <c r="D65" s="74">
        <f t="shared" si="0"/>
        <v>436</v>
      </c>
      <c r="E65" s="69">
        <f>IFERROR(INDEX(Totalutslipp[#All], MATCH(B65, Totalutslipp[[#All],[År]], 0), MATCH($E$53, Totalutslipp[#Headers], 0)), "0")</f>
        <v>218</v>
      </c>
      <c r="F65" s="70">
        <f t="shared" si="1"/>
        <v>436</v>
      </c>
      <c r="G65" s="69" t="str">
        <f>IFERROR(INDEX(Totalutslipp[#All], MATCH(B65, Totalutslipp[[#All],[År]], 0), MATCH($G$53, Totalutslipp[#Headers], 0)), "0")</f>
        <v>0</v>
      </c>
      <c r="H65" s="70">
        <f t="shared" si="2"/>
        <v>0</v>
      </c>
      <c r="I65" s="69" t="str">
        <f>IFERROR(INDEX(Totalutslipp[#All], MATCH(B65, Totalutslipp[[#All],[År]], 0), MATCH($I$53, Totalutslipp[#Headers], 0)), "0")</f>
        <v>0</v>
      </c>
      <c r="J65" s="70">
        <f t="shared" si="3"/>
        <v>0</v>
      </c>
    </row>
    <row r="66" spans="2:10">
      <c r="B66" s="62">
        <v>2032</v>
      </c>
      <c r="C66" s="68">
        <f>(E66*'ZERO-B Beregning'!$D$25+'Verdier kravsnivå'!G66*'ZERO-B Beregning'!$E$25+'Verdier kravsnivå'!I66*'ZERO-B Beregning'!$F$25)/'ZERO-B Beregning'!$G$25</f>
        <v>209</v>
      </c>
      <c r="D66" s="74">
        <f t="shared" si="0"/>
        <v>418</v>
      </c>
      <c r="E66" s="69">
        <f>IFERROR(INDEX(Totalutslipp[#All], MATCH(B66, Totalutslipp[[#All],[År]], 0), MATCH($E$53, Totalutslipp[#Headers], 0)), "0")</f>
        <v>209</v>
      </c>
      <c r="F66" s="70">
        <f t="shared" si="1"/>
        <v>418</v>
      </c>
      <c r="G66" s="69" t="str">
        <f>IFERROR(INDEX(Totalutslipp[#All], MATCH(B66, Totalutslipp[[#All],[År]], 0), MATCH($G$53, Totalutslipp[#Headers], 0)), "0")</f>
        <v>0</v>
      </c>
      <c r="H66" s="70">
        <f t="shared" si="2"/>
        <v>0</v>
      </c>
      <c r="I66" s="69" t="str">
        <f>IFERROR(INDEX(Totalutslipp[#All], MATCH(B66, Totalutslipp[[#All],[År]], 0), MATCH($I$53, Totalutslipp[#Headers], 0)), "0")</f>
        <v>0</v>
      </c>
      <c r="J66" s="70">
        <f t="shared" si="3"/>
        <v>0</v>
      </c>
    </row>
    <row r="67" spans="2:10">
      <c r="B67" s="62">
        <v>2033</v>
      </c>
      <c r="C67" s="68">
        <f>(E67*'ZERO-B Beregning'!$D$25+'Verdier kravsnivå'!G67*'ZERO-B Beregning'!$E$25+'Verdier kravsnivå'!I67*'ZERO-B Beregning'!$F$25)/'ZERO-B Beregning'!$G$25</f>
        <v>200</v>
      </c>
      <c r="D67" s="74">
        <f t="shared" si="0"/>
        <v>400</v>
      </c>
      <c r="E67" s="69">
        <f>IFERROR(INDEX(Totalutslipp[#All], MATCH(B67, Totalutslipp[[#All],[År]], 0), MATCH($E$53, Totalutslipp[#Headers], 0)), "0")</f>
        <v>200</v>
      </c>
      <c r="F67" s="70">
        <f t="shared" si="1"/>
        <v>400</v>
      </c>
      <c r="G67" s="69" t="str">
        <f>IFERROR(INDEX(Totalutslipp[#All], MATCH(B67, Totalutslipp[[#All],[År]], 0), MATCH($G$53, Totalutslipp[#Headers], 0)), "0")</f>
        <v>0</v>
      </c>
      <c r="H67" s="70">
        <f t="shared" si="2"/>
        <v>0</v>
      </c>
      <c r="I67" s="69" t="str">
        <f>IFERROR(INDEX(Totalutslipp[#All], MATCH(B67, Totalutslipp[[#All],[År]], 0), MATCH($I$53, Totalutslipp[#Headers], 0)), "0")</f>
        <v>0</v>
      </c>
      <c r="J67" s="70">
        <f t="shared" si="3"/>
        <v>0</v>
      </c>
    </row>
    <row r="68" spans="2:10">
      <c r="B68" s="62">
        <v>2034</v>
      </c>
      <c r="C68" s="68">
        <f>(E68*'ZERO-B Beregning'!$D$25+'Verdier kravsnivå'!G68*'ZERO-B Beregning'!$E$25+'Verdier kravsnivå'!I68*'ZERO-B Beregning'!$F$25)/'ZERO-B Beregning'!$G$25</f>
        <v>191</v>
      </c>
      <c r="D68" s="74">
        <f t="shared" si="0"/>
        <v>382</v>
      </c>
      <c r="E68" s="69">
        <f>IFERROR(INDEX(Totalutslipp[#All], MATCH(B68, Totalutslipp[[#All],[År]], 0), MATCH($E$53, Totalutslipp[#Headers], 0)), "0")</f>
        <v>191</v>
      </c>
      <c r="F68" s="70">
        <f t="shared" si="1"/>
        <v>382</v>
      </c>
      <c r="G68" s="69" t="str">
        <f>IFERROR(INDEX(Totalutslipp[#All], MATCH(B68, Totalutslipp[[#All],[År]], 0), MATCH($G$53, Totalutslipp[#Headers], 0)), "0")</f>
        <v>0</v>
      </c>
      <c r="H68" s="70">
        <f t="shared" si="2"/>
        <v>0</v>
      </c>
      <c r="I68" s="69" t="str">
        <f>IFERROR(INDEX(Totalutslipp[#All], MATCH(B68, Totalutslipp[[#All],[År]], 0), MATCH($I$53, Totalutslipp[#Headers], 0)), "0")</f>
        <v>0</v>
      </c>
      <c r="J68" s="70">
        <f t="shared" si="3"/>
        <v>0</v>
      </c>
    </row>
    <row r="69" spans="2:10">
      <c r="B69" s="62">
        <v>2035</v>
      </c>
      <c r="C69" s="68">
        <f>(E69*'ZERO-B Beregning'!$D$25+'Verdier kravsnivå'!G69*'ZERO-B Beregning'!$E$25+'Verdier kravsnivå'!I69*'ZERO-B Beregning'!$F$25)/'ZERO-B Beregning'!$G$25</f>
        <v>182</v>
      </c>
      <c r="D69" s="74">
        <f t="shared" si="0"/>
        <v>364</v>
      </c>
      <c r="E69" s="69">
        <f>IFERROR(INDEX(Totalutslipp[#All], MATCH(B69, Totalutslipp[[#All],[År]], 0), MATCH($E$53, Totalutslipp[#Headers], 0)), "0")</f>
        <v>182</v>
      </c>
      <c r="F69" s="70">
        <f t="shared" si="1"/>
        <v>364</v>
      </c>
      <c r="G69" s="69" t="str">
        <f>IFERROR(INDEX(Totalutslipp[#All], MATCH(B69, Totalutslipp[[#All],[År]], 0), MATCH($G$53, Totalutslipp[#Headers], 0)), "0")</f>
        <v>0</v>
      </c>
      <c r="H69" s="70">
        <f t="shared" si="2"/>
        <v>0</v>
      </c>
      <c r="I69" s="69" t="str">
        <f>IFERROR(INDEX(Totalutslipp[#All], MATCH(B69, Totalutslipp[[#All],[År]], 0), MATCH($I$53, Totalutslipp[#Headers], 0)), "0")</f>
        <v>0</v>
      </c>
      <c r="J69" s="70">
        <f t="shared" si="3"/>
        <v>0</v>
      </c>
    </row>
    <row r="70" spans="2:10">
      <c r="B70" s="62">
        <v>2036</v>
      </c>
      <c r="C70" s="68">
        <f>(E70*'ZERO-B Beregning'!$D$25+'Verdier kravsnivå'!G70*'ZERO-B Beregning'!$E$25+'Verdier kravsnivå'!I70*'ZERO-B Beregning'!$F$25)/'ZERO-B Beregning'!$G$25</f>
        <v>173</v>
      </c>
      <c r="D70" s="74">
        <f t="shared" si="0"/>
        <v>346</v>
      </c>
      <c r="E70" s="69">
        <f>IFERROR(INDEX(Totalutslipp[#All], MATCH(B70, Totalutslipp[[#All],[År]], 0), MATCH($E$53, Totalutslipp[#Headers], 0)), "0")</f>
        <v>173</v>
      </c>
      <c r="F70" s="70">
        <f t="shared" si="1"/>
        <v>346</v>
      </c>
      <c r="G70" s="69" t="str">
        <f>IFERROR(INDEX(Totalutslipp[#All], MATCH(B70, Totalutslipp[[#All],[År]], 0), MATCH($G$53, Totalutslipp[#Headers], 0)), "0")</f>
        <v>0</v>
      </c>
      <c r="H70" s="70">
        <f t="shared" si="2"/>
        <v>0</v>
      </c>
      <c r="I70" s="69" t="str">
        <f>IFERROR(INDEX(Totalutslipp[#All], MATCH(B70, Totalutslipp[[#All],[År]], 0), MATCH($I$53, Totalutslipp[#Headers], 0)), "0")</f>
        <v>0</v>
      </c>
      <c r="J70" s="70">
        <f t="shared" si="3"/>
        <v>0</v>
      </c>
    </row>
    <row r="71" spans="2:10">
      <c r="B71" s="62">
        <v>2037</v>
      </c>
      <c r="C71" s="68">
        <f>(E71*'ZERO-B Beregning'!$D$25+'Verdier kravsnivå'!G71*'ZERO-B Beregning'!$E$25+'Verdier kravsnivå'!I71*'ZERO-B Beregning'!$F$25)/'ZERO-B Beregning'!$G$25</f>
        <v>164</v>
      </c>
      <c r="D71" s="74">
        <f t="shared" si="0"/>
        <v>328</v>
      </c>
      <c r="E71" s="69">
        <f>IFERROR(INDEX(Totalutslipp[#All], MATCH(B71, Totalutslipp[[#All],[År]], 0), MATCH($E$53, Totalutslipp[#Headers], 0)), "0")</f>
        <v>164</v>
      </c>
      <c r="F71" s="70">
        <f t="shared" si="1"/>
        <v>328</v>
      </c>
      <c r="G71" s="69" t="str">
        <f>IFERROR(INDEX(Totalutslipp[#All], MATCH(B71, Totalutslipp[[#All],[År]], 0), MATCH($G$53, Totalutslipp[#Headers], 0)), "0")</f>
        <v>0</v>
      </c>
      <c r="H71" s="70">
        <f t="shared" si="2"/>
        <v>0</v>
      </c>
      <c r="I71" s="69" t="str">
        <f>IFERROR(INDEX(Totalutslipp[#All], MATCH(B71, Totalutslipp[[#All],[År]], 0), MATCH($I$53, Totalutslipp[#Headers], 0)), "0")</f>
        <v>0</v>
      </c>
      <c r="J71" s="70">
        <f t="shared" si="3"/>
        <v>0</v>
      </c>
    </row>
    <row r="72" spans="2:10">
      <c r="B72" s="62">
        <v>2038</v>
      </c>
      <c r="C72" s="68">
        <f>(E72*'ZERO-B Beregning'!$D$25+'Verdier kravsnivå'!G72*'ZERO-B Beregning'!$E$25+'Verdier kravsnivå'!I72*'ZERO-B Beregning'!$F$25)/'ZERO-B Beregning'!$G$25</f>
        <v>155</v>
      </c>
      <c r="D72" s="74">
        <f t="shared" si="0"/>
        <v>310</v>
      </c>
      <c r="E72" s="69">
        <f>IFERROR(INDEX(Totalutslipp[#All], MATCH(B72, Totalutslipp[[#All],[År]], 0), MATCH($E$53, Totalutslipp[#Headers], 0)), "0")</f>
        <v>155</v>
      </c>
      <c r="F72" s="70">
        <f t="shared" si="1"/>
        <v>310</v>
      </c>
      <c r="G72" s="69" t="str">
        <f>IFERROR(INDEX(Totalutslipp[#All], MATCH(B72, Totalutslipp[[#All],[År]], 0), MATCH($G$53, Totalutslipp[#Headers], 0)), "0")</f>
        <v>0</v>
      </c>
      <c r="H72" s="70">
        <f t="shared" si="2"/>
        <v>0</v>
      </c>
      <c r="I72" s="69" t="str">
        <f>IFERROR(INDEX(Totalutslipp[#All], MATCH(B72, Totalutslipp[[#All],[År]], 0), MATCH($I$53, Totalutslipp[#Headers], 0)), "0")</f>
        <v>0</v>
      </c>
      <c r="J72" s="70">
        <f t="shared" si="3"/>
        <v>0</v>
      </c>
    </row>
    <row r="73" spans="2:10">
      <c r="B73" s="62">
        <v>2039</v>
      </c>
      <c r="C73" s="68">
        <f>(E73*'ZERO-B Beregning'!$D$25+'Verdier kravsnivå'!G73*'ZERO-B Beregning'!$E$25+'Verdier kravsnivå'!I73*'ZERO-B Beregning'!$F$25)/'ZERO-B Beregning'!$G$25</f>
        <v>146</v>
      </c>
      <c r="D73" s="74">
        <f t="shared" si="0"/>
        <v>292</v>
      </c>
      <c r="E73" s="69">
        <f>IFERROR(INDEX(Totalutslipp[#All], MATCH(B73, Totalutslipp[[#All],[År]], 0), MATCH($E$53, Totalutslipp[#Headers], 0)), "0")</f>
        <v>146</v>
      </c>
      <c r="F73" s="70">
        <f t="shared" si="1"/>
        <v>292</v>
      </c>
      <c r="G73" s="69" t="str">
        <f>IFERROR(INDEX(Totalutslipp[#All], MATCH(B73, Totalutslipp[[#All],[År]], 0), MATCH($G$53, Totalutslipp[#Headers], 0)), "0")</f>
        <v>0</v>
      </c>
      <c r="H73" s="70">
        <f t="shared" si="2"/>
        <v>0</v>
      </c>
      <c r="I73" s="69" t="str">
        <f>IFERROR(INDEX(Totalutslipp[#All], MATCH(B73, Totalutslipp[[#All],[År]], 0), MATCH($I$53, Totalutslipp[#Headers], 0)), "0")</f>
        <v>0</v>
      </c>
      <c r="J73" s="70">
        <f t="shared" si="3"/>
        <v>0</v>
      </c>
    </row>
    <row r="74" spans="2:10">
      <c r="B74" s="62">
        <v>2040</v>
      </c>
      <c r="C74" s="68">
        <f>(E74*'ZERO-B Beregning'!$D$25+'Verdier kravsnivå'!G74*'ZERO-B Beregning'!$E$25+'Verdier kravsnivå'!I74*'ZERO-B Beregning'!$F$25)/'ZERO-B Beregning'!$G$25</f>
        <v>136</v>
      </c>
      <c r="D74" s="74">
        <f t="shared" si="0"/>
        <v>272</v>
      </c>
      <c r="E74" s="69">
        <f>IFERROR(INDEX(Totalutslipp[#All], MATCH(B74, Totalutslipp[[#All],[År]], 0), MATCH($E$53, Totalutslipp[#Headers], 0)), "0")</f>
        <v>136</v>
      </c>
      <c r="F74" s="70">
        <f t="shared" si="1"/>
        <v>272</v>
      </c>
      <c r="G74" s="69" t="str">
        <f>IFERROR(INDEX(Totalutslipp[#All], MATCH(B74, Totalutslipp[[#All],[År]], 0), MATCH($G$53, Totalutslipp[#Headers], 0)), "0")</f>
        <v>0</v>
      </c>
      <c r="H74" s="70">
        <f t="shared" si="2"/>
        <v>0</v>
      </c>
      <c r="I74" s="69" t="str">
        <f>IFERROR(INDEX(Totalutslipp[#All], MATCH(B74, Totalutslipp[[#All],[År]], 0), MATCH($I$53, Totalutslipp[#Headers], 0)), "0")</f>
        <v>0</v>
      </c>
      <c r="J74" s="70">
        <f t="shared" si="3"/>
        <v>0</v>
      </c>
    </row>
    <row r="75" spans="2:10">
      <c r="B75" s="62">
        <v>2041</v>
      </c>
      <c r="C75" s="68">
        <f>(E75*'ZERO-B Beregning'!$D$25+'Verdier kravsnivå'!G75*'ZERO-B Beregning'!$E$25+'Verdier kravsnivå'!I75*'ZERO-B Beregning'!$F$25)/'ZERO-B Beregning'!$G$25</f>
        <v>127</v>
      </c>
      <c r="D75" s="74">
        <f t="shared" si="0"/>
        <v>254</v>
      </c>
      <c r="E75" s="69">
        <f>IFERROR(INDEX(Totalutslipp[#All], MATCH(B75, Totalutslipp[[#All],[År]], 0), MATCH($E$53, Totalutslipp[#Headers], 0)), "0")</f>
        <v>127</v>
      </c>
      <c r="F75" s="70">
        <f t="shared" si="1"/>
        <v>254</v>
      </c>
      <c r="G75" s="69" t="str">
        <f>IFERROR(INDEX(Totalutslipp[#All], MATCH(B75, Totalutslipp[[#All],[År]], 0), MATCH($G$53, Totalutslipp[#Headers], 0)), "0")</f>
        <v>0</v>
      </c>
      <c r="H75" s="70">
        <f t="shared" si="2"/>
        <v>0</v>
      </c>
      <c r="I75" s="69" t="str">
        <f>IFERROR(INDEX(Totalutslipp[#All], MATCH(B75, Totalutslipp[[#All],[År]], 0), MATCH($I$53, Totalutslipp[#Headers], 0)), "0")</f>
        <v>0</v>
      </c>
      <c r="J75" s="70">
        <f t="shared" si="3"/>
        <v>0</v>
      </c>
    </row>
    <row r="76" spans="2:10">
      <c r="B76" s="62">
        <v>2042</v>
      </c>
      <c r="C76" s="68">
        <f>(E76*'ZERO-B Beregning'!$D$25+'Verdier kravsnivå'!G76*'ZERO-B Beregning'!$E$25+'Verdier kravsnivå'!I76*'ZERO-B Beregning'!$F$25)/'ZERO-B Beregning'!$G$25</f>
        <v>118</v>
      </c>
      <c r="D76" s="74">
        <f t="shared" si="0"/>
        <v>236</v>
      </c>
      <c r="E76" s="69">
        <f>IFERROR(INDEX(Totalutslipp[#All], MATCH(B76, Totalutslipp[[#All],[År]], 0), MATCH($E$53, Totalutslipp[#Headers], 0)), "0")</f>
        <v>118</v>
      </c>
      <c r="F76" s="70">
        <f t="shared" si="1"/>
        <v>236</v>
      </c>
      <c r="G76" s="69" t="str">
        <f>IFERROR(INDEX(Totalutslipp[#All], MATCH(B76, Totalutslipp[[#All],[År]], 0), MATCH($G$53, Totalutslipp[#Headers], 0)), "0")</f>
        <v>0</v>
      </c>
      <c r="H76" s="70">
        <f t="shared" si="2"/>
        <v>0</v>
      </c>
      <c r="I76" s="69" t="str">
        <f>IFERROR(INDEX(Totalutslipp[#All], MATCH(B76, Totalutslipp[[#All],[År]], 0), MATCH($I$53, Totalutslipp[#Headers], 0)), "0")</f>
        <v>0</v>
      </c>
      <c r="J76" s="70">
        <f t="shared" si="3"/>
        <v>0</v>
      </c>
    </row>
    <row r="77" spans="2:10">
      <c r="B77" s="62">
        <v>2043</v>
      </c>
      <c r="C77" s="68">
        <f>(E77*'ZERO-B Beregning'!$D$25+'Verdier kravsnivå'!G77*'ZERO-B Beregning'!$E$25+'Verdier kravsnivå'!I77*'ZERO-B Beregning'!$F$25)/'ZERO-B Beregning'!$G$25</f>
        <v>109</v>
      </c>
      <c r="D77" s="74">
        <f t="shared" si="0"/>
        <v>218</v>
      </c>
      <c r="E77" s="69">
        <f>IFERROR(INDEX(Totalutslipp[#All], MATCH(B77, Totalutslipp[[#All],[År]], 0), MATCH($E$53, Totalutslipp[#Headers], 0)), "0")</f>
        <v>109</v>
      </c>
      <c r="F77" s="70">
        <f t="shared" si="1"/>
        <v>218</v>
      </c>
      <c r="G77" s="69" t="str">
        <f>IFERROR(INDEX(Totalutslipp[#All], MATCH(B77, Totalutslipp[[#All],[År]], 0), MATCH($G$53, Totalutslipp[#Headers], 0)), "0")</f>
        <v>0</v>
      </c>
      <c r="H77" s="70">
        <f t="shared" si="2"/>
        <v>0</v>
      </c>
      <c r="I77" s="69" t="str">
        <f>IFERROR(INDEX(Totalutslipp[#All], MATCH(B77, Totalutslipp[[#All],[År]], 0), MATCH($I$53, Totalutslipp[#Headers], 0)), "0")</f>
        <v>0</v>
      </c>
      <c r="J77" s="70">
        <f t="shared" si="3"/>
        <v>0</v>
      </c>
    </row>
    <row r="78" spans="2:10">
      <c r="B78" s="62">
        <v>2044</v>
      </c>
      <c r="C78" s="68">
        <f>(E78*'ZERO-B Beregning'!$D$25+'Verdier kravsnivå'!G78*'ZERO-B Beregning'!$E$25+'Verdier kravsnivå'!I78*'ZERO-B Beregning'!$F$25)/'ZERO-B Beregning'!$G$25</f>
        <v>100</v>
      </c>
      <c r="D78" s="74">
        <f t="shared" si="0"/>
        <v>200</v>
      </c>
      <c r="E78" s="69">
        <f>IFERROR(INDEX(Totalutslipp[#All], MATCH(B78, Totalutslipp[[#All],[År]], 0), MATCH($E$53, Totalutslipp[#Headers], 0)), "0")</f>
        <v>100</v>
      </c>
      <c r="F78" s="70">
        <f t="shared" si="1"/>
        <v>200</v>
      </c>
      <c r="G78" s="69" t="str">
        <f>IFERROR(INDEX(Totalutslipp[#All], MATCH(B78, Totalutslipp[[#All],[År]], 0), MATCH($G$53, Totalutslipp[#Headers], 0)), "0")</f>
        <v>0</v>
      </c>
      <c r="H78" s="70">
        <f t="shared" si="2"/>
        <v>0</v>
      </c>
      <c r="I78" s="69" t="str">
        <f>IFERROR(INDEX(Totalutslipp[#All], MATCH(B78, Totalutslipp[[#All],[År]], 0), MATCH($I$53, Totalutslipp[#Headers], 0)), "0")</f>
        <v>0</v>
      </c>
      <c r="J78" s="70">
        <f t="shared" si="3"/>
        <v>0</v>
      </c>
    </row>
    <row r="79" spans="2:10">
      <c r="B79" s="62">
        <v>2045</v>
      </c>
      <c r="C79" s="68">
        <f>(E79*'ZERO-B Beregning'!$D$25+'Verdier kravsnivå'!G79*'ZERO-B Beregning'!$E$25+'Verdier kravsnivå'!I79*'ZERO-B Beregning'!$F$25)/'ZERO-B Beregning'!$G$25</f>
        <v>91</v>
      </c>
      <c r="D79" s="74">
        <f t="shared" si="0"/>
        <v>182</v>
      </c>
      <c r="E79" s="69">
        <f>IFERROR(INDEX(Totalutslipp[#All], MATCH(B79, Totalutslipp[[#All],[År]], 0), MATCH($E$53, Totalutslipp[#Headers], 0)), "0")</f>
        <v>91</v>
      </c>
      <c r="F79" s="70">
        <f t="shared" si="1"/>
        <v>182</v>
      </c>
      <c r="G79" s="69" t="str">
        <f>IFERROR(INDEX(Totalutslipp[#All], MATCH(B79, Totalutslipp[[#All],[År]], 0), MATCH($G$53, Totalutslipp[#Headers], 0)), "0")</f>
        <v>0</v>
      </c>
      <c r="H79" s="70">
        <f t="shared" si="2"/>
        <v>0</v>
      </c>
      <c r="I79" s="69" t="str">
        <f>IFERROR(INDEX(Totalutslipp[#All], MATCH(B79, Totalutslipp[[#All],[År]], 0), MATCH($I$53, Totalutslipp[#Headers], 0)), "0")</f>
        <v>0</v>
      </c>
      <c r="J79" s="70">
        <f t="shared" si="3"/>
        <v>0</v>
      </c>
    </row>
    <row r="80" spans="2:10">
      <c r="B80" s="62">
        <v>2046</v>
      </c>
      <c r="C80" s="68">
        <f>(E80*'ZERO-B Beregning'!$D$25+'Verdier kravsnivå'!G80*'ZERO-B Beregning'!$E$25+'Verdier kravsnivå'!I80*'ZERO-B Beregning'!$F$25)/'ZERO-B Beregning'!$G$25</f>
        <v>82</v>
      </c>
      <c r="D80" s="74">
        <f t="shared" si="0"/>
        <v>164</v>
      </c>
      <c r="E80" s="69">
        <f>IFERROR(INDEX(Totalutslipp[#All], MATCH(B80, Totalutslipp[[#All],[År]], 0), MATCH($E$53, Totalutslipp[#Headers], 0)), "0")</f>
        <v>82</v>
      </c>
      <c r="F80" s="70">
        <f t="shared" si="1"/>
        <v>164</v>
      </c>
      <c r="G80" s="69" t="str">
        <f>IFERROR(INDEX(Totalutslipp[#All], MATCH(B80, Totalutslipp[[#All],[År]], 0), MATCH($G$53, Totalutslipp[#Headers], 0)), "0")</f>
        <v>0</v>
      </c>
      <c r="H80" s="70">
        <f t="shared" si="2"/>
        <v>0</v>
      </c>
      <c r="I80" s="69" t="str">
        <f>IFERROR(INDEX(Totalutslipp[#All], MATCH(B80, Totalutslipp[[#All],[År]], 0), MATCH($I$53, Totalutslipp[#Headers], 0)), "0")</f>
        <v>0</v>
      </c>
      <c r="J80" s="70">
        <f t="shared" si="3"/>
        <v>0</v>
      </c>
    </row>
    <row r="81" spans="2:45">
      <c r="B81" s="62">
        <v>2047</v>
      </c>
      <c r="C81" s="68">
        <f>(E81*'ZERO-B Beregning'!$D$25+'Verdier kravsnivå'!G81*'ZERO-B Beregning'!$E$25+'Verdier kravsnivå'!I81*'ZERO-B Beregning'!$F$25)/'ZERO-B Beregning'!$G$25</f>
        <v>73</v>
      </c>
      <c r="D81" s="74">
        <f t="shared" si="0"/>
        <v>146</v>
      </c>
      <c r="E81" s="69">
        <f>IFERROR(INDEX(Totalutslipp[#All], MATCH(B81, Totalutslipp[[#All],[År]], 0), MATCH($E$53, Totalutslipp[#Headers], 0)), "0")</f>
        <v>73</v>
      </c>
      <c r="F81" s="70">
        <f t="shared" si="1"/>
        <v>146</v>
      </c>
      <c r="G81" s="69" t="str">
        <f>IFERROR(INDEX(Totalutslipp[#All], MATCH(B81, Totalutslipp[[#All],[År]], 0), MATCH($G$53, Totalutslipp[#Headers], 0)), "0")</f>
        <v>0</v>
      </c>
      <c r="H81" s="70">
        <f t="shared" si="2"/>
        <v>0</v>
      </c>
      <c r="I81" s="69" t="str">
        <f>IFERROR(INDEX(Totalutslipp[#All], MATCH(B81, Totalutslipp[[#All],[År]], 0), MATCH($I$53, Totalutslipp[#Headers], 0)), "0")</f>
        <v>0</v>
      </c>
      <c r="J81" s="70">
        <f t="shared" si="3"/>
        <v>0</v>
      </c>
    </row>
    <row r="82" spans="2:45">
      <c r="B82" s="62">
        <v>2048</v>
      </c>
      <c r="C82" s="68">
        <f>(E82*'ZERO-B Beregning'!$D$25+'Verdier kravsnivå'!G82*'ZERO-B Beregning'!$E$25+'Verdier kravsnivå'!I82*'ZERO-B Beregning'!$F$25)/'ZERO-B Beregning'!$G$25</f>
        <v>64</v>
      </c>
      <c r="D82" s="74">
        <f t="shared" si="0"/>
        <v>128</v>
      </c>
      <c r="E82" s="69">
        <f>IFERROR(INDEX(Totalutslipp[#All], MATCH(B82, Totalutslipp[[#All],[År]], 0), MATCH($E$53, Totalutslipp[#Headers], 0)), "0")</f>
        <v>64</v>
      </c>
      <c r="F82" s="70">
        <f t="shared" si="1"/>
        <v>128</v>
      </c>
      <c r="G82" s="69" t="str">
        <f>IFERROR(INDEX(Totalutslipp[#All], MATCH(B82, Totalutslipp[[#All],[År]], 0), MATCH($G$53, Totalutslipp[#Headers], 0)), "0")</f>
        <v>0</v>
      </c>
      <c r="H82" s="70">
        <f t="shared" si="2"/>
        <v>0</v>
      </c>
      <c r="I82" s="69" t="str">
        <f>IFERROR(INDEX(Totalutslipp[#All], MATCH(B82, Totalutslipp[[#All],[År]], 0), MATCH($I$53, Totalutslipp[#Headers], 0)), "0")</f>
        <v>0</v>
      </c>
      <c r="J82" s="70">
        <f t="shared" si="3"/>
        <v>0</v>
      </c>
    </row>
    <row r="83" spans="2:45">
      <c r="B83" s="62">
        <v>2049</v>
      </c>
      <c r="C83" s="68">
        <f>(E83*'ZERO-B Beregning'!$D$25+'Verdier kravsnivå'!G83*'ZERO-B Beregning'!$E$25+'Verdier kravsnivå'!I83*'ZERO-B Beregning'!$F$25)/'ZERO-B Beregning'!$G$25</f>
        <v>55</v>
      </c>
      <c r="D83" s="74">
        <f t="shared" si="0"/>
        <v>110</v>
      </c>
      <c r="E83" s="69">
        <f>IFERROR(INDEX(Totalutslipp[#All], MATCH(B83, Totalutslipp[[#All],[År]], 0), MATCH($E$53, Totalutslipp[#Headers], 0)), "0")</f>
        <v>55</v>
      </c>
      <c r="F83" s="70">
        <f t="shared" si="1"/>
        <v>110</v>
      </c>
      <c r="G83" s="69" t="str">
        <f>IFERROR(INDEX(Totalutslipp[#All], MATCH(B83, Totalutslipp[[#All],[År]], 0), MATCH($G$53, Totalutslipp[#Headers], 0)), "0")</f>
        <v>0</v>
      </c>
      <c r="H83" s="70">
        <f t="shared" si="2"/>
        <v>0</v>
      </c>
      <c r="I83" s="69" t="str">
        <f>IFERROR(INDEX(Totalutslipp[#All], MATCH(B83, Totalutslipp[[#All],[År]], 0), MATCH($I$53, Totalutslipp[#Headers], 0)), "0")</f>
        <v>0</v>
      </c>
      <c r="J83" s="70">
        <f t="shared" si="3"/>
        <v>0</v>
      </c>
    </row>
    <row r="84" spans="2:45">
      <c r="B84" s="63">
        <v>2050</v>
      </c>
      <c r="C84" s="71">
        <f>(E84*'ZERO-B Beregning'!$D$25+'Verdier kravsnivå'!G84*'ZERO-B Beregning'!$E$25+'Verdier kravsnivå'!I84*'ZERO-B Beregning'!$F$25)/'ZERO-B Beregning'!$G$25</f>
        <v>46</v>
      </c>
      <c r="D84" s="75">
        <f t="shared" si="0"/>
        <v>92</v>
      </c>
      <c r="E84" s="72">
        <f>IFERROR(INDEX(Totalutslipp[#All], MATCH(B84, Totalutslipp[[#All],[År]], 0), MATCH($E$53, Totalutslipp[#Headers], 0)), "0")</f>
        <v>46</v>
      </c>
      <c r="F84" s="73">
        <f t="shared" si="1"/>
        <v>92</v>
      </c>
      <c r="G84" s="72" t="str">
        <f>IFERROR(INDEX(Totalutslipp[#All], MATCH(B84, Totalutslipp[[#All],[År]], 0), MATCH($G$53, Totalutslipp[#Headers], 0)), "0")</f>
        <v>0</v>
      </c>
      <c r="H84" s="73">
        <f t="shared" si="2"/>
        <v>0</v>
      </c>
      <c r="I84" s="72" t="str">
        <f>IFERROR(INDEX(Totalutslipp[#All], MATCH(B84, Totalutslipp[[#All],[År]], 0), MATCH($I$53, Totalutslipp[#Headers], 0)), "0")</f>
        <v>0</v>
      </c>
      <c r="J84" s="73">
        <f t="shared" si="3"/>
        <v>0</v>
      </c>
    </row>
    <row r="88" spans="2:45" ht="24.95" customHeight="1">
      <c r="B88" s="7" t="s">
        <v>538</v>
      </c>
      <c r="Q88" s="7" t="s">
        <v>539</v>
      </c>
      <c r="AF88" s="7" t="s">
        <v>540</v>
      </c>
    </row>
    <row r="89" spans="2:45" ht="48">
      <c r="B89" s="21" t="s">
        <v>493</v>
      </c>
      <c r="C89" s="22" t="s">
        <v>481</v>
      </c>
      <c r="D89" s="22" t="s">
        <v>482</v>
      </c>
      <c r="E89" s="22" t="s">
        <v>483</v>
      </c>
      <c r="F89" s="22" t="s">
        <v>484</v>
      </c>
      <c r="G89" s="22" t="s">
        <v>80</v>
      </c>
      <c r="H89" s="22" t="s">
        <v>541</v>
      </c>
      <c r="I89" s="22" t="s">
        <v>486</v>
      </c>
      <c r="J89" s="22" t="s">
        <v>487</v>
      </c>
      <c r="K89" s="22" t="s">
        <v>488</v>
      </c>
      <c r="L89" s="22" t="s">
        <v>542</v>
      </c>
      <c r="M89" s="22" t="s">
        <v>543</v>
      </c>
      <c r="N89" s="22" t="s">
        <v>491</v>
      </c>
      <c r="O89" s="551" t="s">
        <v>544</v>
      </c>
      <c r="Q89" s="21" t="s">
        <v>493</v>
      </c>
      <c r="R89" s="22" t="s">
        <v>481</v>
      </c>
      <c r="S89" s="22" t="s">
        <v>482</v>
      </c>
      <c r="T89" s="22" t="s">
        <v>483</v>
      </c>
      <c r="U89" s="22" t="s">
        <v>484</v>
      </c>
      <c r="V89" s="22" t="s">
        <v>80</v>
      </c>
      <c r="W89" s="22" t="s">
        <v>541</v>
      </c>
      <c r="X89" s="22" t="s">
        <v>486</v>
      </c>
      <c r="Y89" s="22" t="s">
        <v>487</v>
      </c>
      <c r="Z89" s="22" t="s">
        <v>488</v>
      </c>
      <c r="AA89" s="22" t="s">
        <v>542</v>
      </c>
      <c r="AB89" s="22" t="s">
        <v>543</v>
      </c>
      <c r="AC89" s="22" t="s">
        <v>491</v>
      </c>
      <c r="AD89" s="551" t="s">
        <v>544</v>
      </c>
      <c r="AF89" s="29" t="s">
        <v>493</v>
      </c>
      <c r="AG89" s="30" t="s">
        <v>481</v>
      </c>
      <c r="AH89" s="30" t="s">
        <v>482</v>
      </c>
      <c r="AI89" s="30" t="s">
        <v>483</v>
      </c>
      <c r="AJ89" s="30" t="s">
        <v>484</v>
      </c>
      <c r="AK89" s="30" t="s">
        <v>80</v>
      </c>
      <c r="AL89" s="30" t="s">
        <v>541</v>
      </c>
      <c r="AM89" s="30" t="s">
        <v>486</v>
      </c>
      <c r="AN89" s="30" t="s">
        <v>487</v>
      </c>
      <c r="AO89" s="30" t="s">
        <v>488</v>
      </c>
      <c r="AP89" s="30" t="s">
        <v>542</v>
      </c>
      <c r="AQ89" s="30" t="s">
        <v>543</v>
      </c>
      <c r="AR89" s="30" t="s">
        <v>491</v>
      </c>
      <c r="AS89" s="551" t="s">
        <v>544</v>
      </c>
    </row>
    <row r="90" spans="2:45">
      <c r="B90" s="23">
        <v>2020</v>
      </c>
      <c r="C90" s="24">
        <f t="shared" ref="C90:C120" si="4">H16</f>
        <v>371</v>
      </c>
      <c r="D90" s="24">
        <f t="shared" ref="D90:D120" si="5">K16</f>
        <v>558</v>
      </c>
      <c r="E90" s="24">
        <f t="shared" ref="E90:E120" si="6">N16</f>
        <v>412</v>
      </c>
      <c r="F90" s="24">
        <f t="shared" ref="F90:F120" si="7">Q16</f>
        <v>408</v>
      </c>
      <c r="G90" s="24">
        <f t="shared" ref="G90:G120" si="8">T16</f>
        <v>455</v>
      </c>
      <c r="H90" s="24">
        <f t="shared" ref="H90:H120" si="9">W16</f>
        <v>455</v>
      </c>
      <c r="I90" s="24">
        <f t="shared" ref="I90:I120" si="10">Z16</f>
        <v>955</v>
      </c>
      <c r="J90" s="24">
        <f t="shared" ref="J90:J120" si="11">AC16</f>
        <v>718</v>
      </c>
      <c r="K90" s="24">
        <f t="shared" ref="K90:K120" si="12">AF16</f>
        <v>586</v>
      </c>
      <c r="L90" s="24">
        <f t="shared" ref="L90:L120" si="13">AI16</f>
        <v>398</v>
      </c>
      <c r="M90" s="24">
        <f t="shared" ref="M90:M120" si="14">AL16</f>
        <v>794</v>
      </c>
      <c r="N90" s="24">
        <f t="shared" ref="N90:N120" si="15">AO16</f>
        <v>445</v>
      </c>
      <c r="O90" s="25">
        <f t="shared" ref="O90:O120" si="16">AR16</f>
        <v>409</v>
      </c>
      <c r="Q90" s="23">
        <v>2020</v>
      </c>
      <c r="R90" s="24">
        <f t="shared" ref="R90:R120" si="17">G16</f>
        <v>253</v>
      </c>
      <c r="S90" s="24">
        <f t="shared" ref="S90:S120" si="18">J16</f>
        <v>253</v>
      </c>
      <c r="T90" s="24">
        <f t="shared" ref="T90:T120" si="19">M16</f>
        <v>221</v>
      </c>
      <c r="U90" s="24">
        <f t="shared" ref="U90:U120" si="20">P16</f>
        <v>221</v>
      </c>
      <c r="V90" s="24">
        <f t="shared" ref="V90:V120" si="21">S16</f>
        <v>253</v>
      </c>
      <c r="W90" s="24">
        <f t="shared" ref="W90:W120" si="22">V16</f>
        <v>253</v>
      </c>
      <c r="X90" s="24">
        <f t="shared" ref="X90:X120" si="23">Y16</f>
        <v>759</v>
      </c>
      <c r="Y90" s="24">
        <f t="shared" ref="Y90:Y120" si="24">AB16</f>
        <v>538</v>
      </c>
      <c r="Z90" s="24">
        <f t="shared" ref="Z90:Z120" si="25">AE16</f>
        <v>380</v>
      </c>
      <c r="AA90" s="24">
        <f t="shared" ref="AA90:AA120" si="26">AH16</f>
        <v>158</v>
      </c>
      <c r="AB90" s="24">
        <f t="shared" ref="AB90:AB120" si="27">AK16</f>
        <v>632</v>
      </c>
      <c r="AC90" s="24">
        <f t="shared" ref="AC90:AC120" si="28">AN16</f>
        <v>253</v>
      </c>
      <c r="AD90" s="552">
        <f t="shared" ref="AD90:AD120" si="29">AQ16</f>
        <v>190</v>
      </c>
      <c r="AF90" s="23">
        <v>2020</v>
      </c>
      <c r="AG90" s="24">
        <f t="shared" ref="AG90:AG120" si="30">F16</f>
        <v>155</v>
      </c>
      <c r="AH90" s="24">
        <f t="shared" ref="AH90:AH120" si="31">I16</f>
        <v>360</v>
      </c>
      <c r="AI90" s="24">
        <f t="shared" ref="AI90:AI120" si="32">L16</f>
        <v>232</v>
      </c>
      <c r="AJ90" s="24">
        <f t="shared" ref="AJ90:AJ120" si="33">O16</f>
        <v>228</v>
      </c>
      <c r="AK90" s="24">
        <f t="shared" ref="AK90:AK120" si="34">R16</f>
        <v>247</v>
      </c>
      <c r="AL90" s="24">
        <f t="shared" ref="AL90:AL120" si="35">U16</f>
        <v>248</v>
      </c>
      <c r="AM90" s="24">
        <f t="shared" ref="AM90:AM120" si="36">X16</f>
        <v>292</v>
      </c>
      <c r="AN90" s="24">
        <f t="shared" ref="AN90:AN120" si="37">AA16</f>
        <v>252</v>
      </c>
      <c r="AO90" s="24">
        <f t="shared" ref="AO90:AO120" si="38">AD16</f>
        <v>265</v>
      </c>
      <c r="AP90" s="24">
        <f t="shared" ref="AP90:AP120" si="39">AG16</f>
        <v>280</v>
      </c>
      <c r="AQ90" s="24">
        <f t="shared" ref="AQ90:AQ120" si="40">AJ16</f>
        <v>240</v>
      </c>
      <c r="AR90" s="24">
        <f t="shared" ref="AR90:AR120" si="41">AM16</f>
        <v>237</v>
      </c>
      <c r="AS90" s="25">
        <f t="shared" ref="AS90:AS120" si="42">AP16</f>
        <v>260</v>
      </c>
    </row>
    <row r="91" spans="2:45">
      <c r="B91" s="23">
        <v>2021</v>
      </c>
      <c r="C91" s="24">
        <f t="shared" si="4"/>
        <v>353</v>
      </c>
      <c r="D91" s="24">
        <f t="shared" si="5"/>
        <v>530</v>
      </c>
      <c r="E91" s="24">
        <f t="shared" si="6"/>
        <v>391</v>
      </c>
      <c r="F91" s="24">
        <f t="shared" si="7"/>
        <v>388</v>
      </c>
      <c r="G91" s="24">
        <f t="shared" si="8"/>
        <v>432</v>
      </c>
      <c r="H91" s="24">
        <f t="shared" si="9"/>
        <v>433</v>
      </c>
      <c r="I91" s="24">
        <f t="shared" si="10"/>
        <v>907</v>
      </c>
      <c r="J91" s="24">
        <f t="shared" si="11"/>
        <v>682</v>
      </c>
      <c r="K91" s="24">
        <f t="shared" si="12"/>
        <v>556</v>
      </c>
      <c r="L91" s="24">
        <f t="shared" si="13"/>
        <v>378</v>
      </c>
      <c r="M91" s="24">
        <f t="shared" si="14"/>
        <v>754</v>
      </c>
      <c r="N91" s="24">
        <f t="shared" si="15"/>
        <v>423</v>
      </c>
      <c r="O91" s="25">
        <f t="shared" si="16"/>
        <v>389</v>
      </c>
      <c r="Q91" s="23">
        <v>2021</v>
      </c>
      <c r="R91" s="24">
        <f t="shared" si="17"/>
        <v>240</v>
      </c>
      <c r="S91" s="24">
        <f t="shared" si="18"/>
        <v>240</v>
      </c>
      <c r="T91" s="24">
        <f t="shared" si="19"/>
        <v>210</v>
      </c>
      <c r="U91" s="24">
        <f t="shared" si="20"/>
        <v>210</v>
      </c>
      <c r="V91" s="24">
        <f t="shared" si="21"/>
        <v>240</v>
      </c>
      <c r="W91" s="24">
        <f t="shared" si="22"/>
        <v>240</v>
      </c>
      <c r="X91" s="24">
        <f t="shared" si="23"/>
        <v>721</v>
      </c>
      <c r="Y91" s="24">
        <f t="shared" si="24"/>
        <v>511</v>
      </c>
      <c r="Z91" s="24">
        <f t="shared" si="25"/>
        <v>360</v>
      </c>
      <c r="AA91" s="24">
        <f t="shared" si="26"/>
        <v>150</v>
      </c>
      <c r="AB91" s="24">
        <f t="shared" si="27"/>
        <v>601</v>
      </c>
      <c r="AC91" s="24">
        <f t="shared" si="28"/>
        <v>240</v>
      </c>
      <c r="AD91" s="552">
        <f t="shared" si="29"/>
        <v>180</v>
      </c>
      <c r="AF91" s="23">
        <v>2021</v>
      </c>
      <c r="AG91" s="24">
        <f t="shared" si="30"/>
        <v>148</v>
      </c>
      <c r="AH91" s="24">
        <f t="shared" si="31"/>
        <v>342</v>
      </c>
      <c r="AI91" s="24">
        <f t="shared" si="32"/>
        <v>220</v>
      </c>
      <c r="AJ91" s="24">
        <f t="shared" si="33"/>
        <v>216</v>
      </c>
      <c r="AK91" s="24">
        <f t="shared" si="34"/>
        <v>235</v>
      </c>
      <c r="AL91" s="24">
        <f t="shared" si="35"/>
        <v>236</v>
      </c>
      <c r="AM91" s="24">
        <f t="shared" si="36"/>
        <v>277</v>
      </c>
      <c r="AN91" s="24">
        <f t="shared" si="37"/>
        <v>239</v>
      </c>
      <c r="AO91" s="24">
        <f t="shared" si="38"/>
        <v>252</v>
      </c>
      <c r="AP91" s="24">
        <f t="shared" si="39"/>
        <v>266</v>
      </c>
      <c r="AQ91" s="24">
        <f t="shared" si="40"/>
        <v>228</v>
      </c>
      <c r="AR91" s="24">
        <f t="shared" si="41"/>
        <v>225</v>
      </c>
      <c r="AS91" s="25">
        <f t="shared" si="42"/>
        <v>247</v>
      </c>
    </row>
    <row r="92" spans="2:45">
      <c r="B92" s="23">
        <v>2022</v>
      </c>
      <c r="C92" s="24">
        <f t="shared" si="4"/>
        <v>334</v>
      </c>
      <c r="D92" s="24">
        <f t="shared" si="5"/>
        <v>502</v>
      </c>
      <c r="E92" s="24">
        <f t="shared" si="6"/>
        <v>371</v>
      </c>
      <c r="F92" s="24">
        <f t="shared" si="7"/>
        <v>368</v>
      </c>
      <c r="G92" s="24">
        <f t="shared" si="8"/>
        <v>409</v>
      </c>
      <c r="H92" s="24">
        <f t="shared" si="9"/>
        <v>410</v>
      </c>
      <c r="I92" s="24">
        <f t="shared" si="10"/>
        <v>860</v>
      </c>
      <c r="J92" s="24">
        <f t="shared" si="11"/>
        <v>646</v>
      </c>
      <c r="K92" s="24">
        <f t="shared" si="12"/>
        <v>527</v>
      </c>
      <c r="L92" s="24">
        <f t="shared" si="13"/>
        <v>358</v>
      </c>
      <c r="M92" s="24">
        <f t="shared" si="14"/>
        <v>714</v>
      </c>
      <c r="N92" s="24">
        <f t="shared" si="15"/>
        <v>401</v>
      </c>
      <c r="O92" s="25">
        <f t="shared" si="16"/>
        <v>368</v>
      </c>
      <c r="Q92" s="23">
        <v>2022</v>
      </c>
      <c r="R92" s="24">
        <f t="shared" si="17"/>
        <v>228</v>
      </c>
      <c r="S92" s="24">
        <f t="shared" si="18"/>
        <v>228</v>
      </c>
      <c r="T92" s="24">
        <f t="shared" si="19"/>
        <v>199</v>
      </c>
      <c r="U92" s="24">
        <f t="shared" si="20"/>
        <v>199</v>
      </c>
      <c r="V92" s="24">
        <f t="shared" si="21"/>
        <v>228</v>
      </c>
      <c r="W92" s="24">
        <f t="shared" si="22"/>
        <v>228</v>
      </c>
      <c r="X92" s="24">
        <f t="shared" si="23"/>
        <v>683</v>
      </c>
      <c r="Y92" s="24">
        <f t="shared" si="24"/>
        <v>484</v>
      </c>
      <c r="Z92" s="24">
        <f t="shared" si="25"/>
        <v>342</v>
      </c>
      <c r="AA92" s="24">
        <f t="shared" si="26"/>
        <v>142</v>
      </c>
      <c r="AB92" s="24">
        <f t="shared" si="27"/>
        <v>569</v>
      </c>
      <c r="AC92" s="24">
        <f t="shared" si="28"/>
        <v>228</v>
      </c>
      <c r="AD92" s="552">
        <f t="shared" si="29"/>
        <v>171</v>
      </c>
      <c r="AF92" s="23">
        <v>2022</v>
      </c>
      <c r="AG92" s="24">
        <f t="shared" si="30"/>
        <v>140</v>
      </c>
      <c r="AH92" s="24">
        <f t="shared" si="31"/>
        <v>324</v>
      </c>
      <c r="AI92" s="24">
        <f t="shared" si="32"/>
        <v>209</v>
      </c>
      <c r="AJ92" s="24">
        <f t="shared" si="33"/>
        <v>205</v>
      </c>
      <c r="AK92" s="24">
        <f t="shared" si="34"/>
        <v>223</v>
      </c>
      <c r="AL92" s="24">
        <f t="shared" si="35"/>
        <v>223</v>
      </c>
      <c r="AM92" s="24">
        <f t="shared" si="36"/>
        <v>262</v>
      </c>
      <c r="AN92" s="24">
        <f t="shared" si="37"/>
        <v>227</v>
      </c>
      <c r="AO92" s="24">
        <f t="shared" si="38"/>
        <v>238</v>
      </c>
      <c r="AP92" s="24">
        <f t="shared" si="39"/>
        <v>252</v>
      </c>
      <c r="AQ92" s="24">
        <f t="shared" si="40"/>
        <v>216</v>
      </c>
      <c r="AR92" s="24">
        <f t="shared" si="41"/>
        <v>213</v>
      </c>
      <c r="AS92" s="25">
        <f t="shared" si="42"/>
        <v>234</v>
      </c>
    </row>
    <row r="93" spans="2:45">
      <c r="B93" s="23">
        <v>2023</v>
      </c>
      <c r="C93" s="24">
        <f t="shared" si="4"/>
        <v>316</v>
      </c>
      <c r="D93" s="24">
        <f t="shared" si="5"/>
        <v>474</v>
      </c>
      <c r="E93" s="24">
        <f t="shared" si="6"/>
        <v>350</v>
      </c>
      <c r="F93" s="24">
        <f t="shared" si="7"/>
        <v>347</v>
      </c>
      <c r="G93" s="24">
        <f t="shared" si="8"/>
        <v>387</v>
      </c>
      <c r="H93" s="24">
        <f t="shared" si="9"/>
        <v>387</v>
      </c>
      <c r="I93" s="24">
        <f t="shared" si="10"/>
        <v>812</v>
      </c>
      <c r="J93" s="24">
        <f t="shared" si="11"/>
        <v>610</v>
      </c>
      <c r="K93" s="24">
        <f t="shared" si="12"/>
        <v>498</v>
      </c>
      <c r="L93" s="24">
        <f t="shared" si="13"/>
        <v>338</v>
      </c>
      <c r="M93" s="24">
        <f t="shared" si="14"/>
        <v>674</v>
      </c>
      <c r="N93" s="24">
        <f t="shared" si="15"/>
        <v>378</v>
      </c>
      <c r="O93" s="25">
        <f t="shared" si="16"/>
        <v>348</v>
      </c>
      <c r="Q93" s="23">
        <v>2023</v>
      </c>
      <c r="R93" s="24">
        <f t="shared" si="17"/>
        <v>215</v>
      </c>
      <c r="S93" s="24">
        <f t="shared" si="18"/>
        <v>215</v>
      </c>
      <c r="T93" s="24">
        <f t="shared" si="19"/>
        <v>188</v>
      </c>
      <c r="U93" s="24">
        <f t="shared" si="20"/>
        <v>188</v>
      </c>
      <c r="V93" s="24">
        <f t="shared" si="21"/>
        <v>215</v>
      </c>
      <c r="W93" s="24">
        <f t="shared" si="22"/>
        <v>215</v>
      </c>
      <c r="X93" s="24">
        <f t="shared" si="23"/>
        <v>645</v>
      </c>
      <c r="Y93" s="24">
        <f t="shared" si="24"/>
        <v>457</v>
      </c>
      <c r="Z93" s="24">
        <f t="shared" si="25"/>
        <v>323</v>
      </c>
      <c r="AA93" s="24">
        <f t="shared" si="26"/>
        <v>134</v>
      </c>
      <c r="AB93" s="24">
        <f t="shared" si="27"/>
        <v>538</v>
      </c>
      <c r="AC93" s="24">
        <f t="shared" si="28"/>
        <v>215</v>
      </c>
      <c r="AD93" s="552">
        <f t="shared" si="29"/>
        <v>161</v>
      </c>
      <c r="AF93" s="23">
        <v>2023</v>
      </c>
      <c r="AG93" s="24">
        <f t="shared" si="30"/>
        <v>132</v>
      </c>
      <c r="AH93" s="24">
        <f t="shared" si="31"/>
        <v>306</v>
      </c>
      <c r="AI93" s="24">
        <f t="shared" si="32"/>
        <v>197</v>
      </c>
      <c r="AJ93" s="24">
        <f t="shared" si="33"/>
        <v>194</v>
      </c>
      <c r="AK93" s="24">
        <f t="shared" si="34"/>
        <v>210</v>
      </c>
      <c r="AL93" s="24">
        <f t="shared" si="35"/>
        <v>211</v>
      </c>
      <c r="AM93" s="24">
        <f t="shared" si="36"/>
        <v>248</v>
      </c>
      <c r="AN93" s="24">
        <f t="shared" si="37"/>
        <v>214</v>
      </c>
      <c r="AO93" s="24">
        <f t="shared" si="38"/>
        <v>225</v>
      </c>
      <c r="AP93" s="24">
        <f t="shared" si="39"/>
        <v>238</v>
      </c>
      <c r="AQ93" s="24">
        <f t="shared" si="40"/>
        <v>204</v>
      </c>
      <c r="AR93" s="24">
        <f t="shared" si="41"/>
        <v>201</v>
      </c>
      <c r="AS93" s="25">
        <f t="shared" si="42"/>
        <v>221</v>
      </c>
    </row>
    <row r="94" spans="2:45">
      <c r="B94" s="23">
        <v>2024</v>
      </c>
      <c r="C94" s="24">
        <f t="shared" si="4"/>
        <v>297</v>
      </c>
      <c r="D94" s="24">
        <f t="shared" si="5"/>
        <v>446</v>
      </c>
      <c r="E94" s="24">
        <f t="shared" si="6"/>
        <v>330</v>
      </c>
      <c r="F94" s="24">
        <f t="shared" si="7"/>
        <v>327</v>
      </c>
      <c r="G94" s="24">
        <f t="shared" si="8"/>
        <v>364</v>
      </c>
      <c r="H94" s="24">
        <f t="shared" si="9"/>
        <v>364</v>
      </c>
      <c r="I94" s="24">
        <f t="shared" si="10"/>
        <v>764</v>
      </c>
      <c r="J94" s="24">
        <f t="shared" si="11"/>
        <v>574</v>
      </c>
      <c r="K94" s="24">
        <f t="shared" si="12"/>
        <v>469</v>
      </c>
      <c r="L94" s="24">
        <f t="shared" si="13"/>
        <v>318</v>
      </c>
      <c r="M94" s="24">
        <f t="shared" si="14"/>
        <v>635</v>
      </c>
      <c r="N94" s="24">
        <f t="shared" si="15"/>
        <v>356</v>
      </c>
      <c r="O94" s="25">
        <f t="shared" si="16"/>
        <v>327</v>
      </c>
      <c r="Q94" s="23">
        <v>2024</v>
      </c>
      <c r="R94" s="24">
        <f t="shared" si="17"/>
        <v>202</v>
      </c>
      <c r="S94" s="24">
        <f t="shared" si="18"/>
        <v>202</v>
      </c>
      <c r="T94" s="24">
        <f t="shared" si="19"/>
        <v>177</v>
      </c>
      <c r="U94" s="24">
        <f t="shared" si="20"/>
        <v>177</v>
      </c>
      <c r="V94" s="24">
        <f t="shared" si="21"/>
        <v>202</v>
      </c>
      <c r="W94" s="24">
        <f t="shared" si="22"/>
        <v>202</v>
      </c>
      <c r="X94" s="24">
        <f t="shared" si="23"/>
        <v>607</v>
      </c>
      <c r="Y94" s="24">
        <f t="shared" si="24"/>
        <v>430</v>
      </c>
      <c r="Z94" s="24">
        <f t="shared" si="25"/>
        <v>304</v>
      </c>
      <c r="AA94" s="24">
        <f t="shared" si="26"/>
        <v>126</v>
      </c>
      <c r="AB94" s="24">
        <f t="shared" si="27"/>
        <v>506</v>
      </c>
      <c r="AC94" s="24">
        <f t="shared" si="28"/>
        <v>202</v>
      </c>
      <c r="AD94" s="552">
        <f t="shared" si="29"/>
        <v>152</v>
      </c>
      <c r="AF94" s="23">
        <v>2024</v>
      </c>
      <c r="AG94" s="24">
        <f t="shared" si="30"/>
        <v>124</v>
      </c>
      <c r="AH94" s="24">
        <f t="shared" si="31"/>
        <v>288</v>
      </c>
      <c r="AI94" s="24">
        <f t="shared" si="32"/>
        <v>185</v>
      </c>
      <c r="AJ94" s="24">
        <f t="shared" si="33"/>
        <v>182</v>
      </c>
      <c r="AK94" s="24">
        <f t="shared" si="34"/>
        <v>198</v>
      </c>
      <c r="AL94" s="24">
        <f t="shared" si="35"/>
        <v>198</v>
      </c>
      <c r="AM94" s="24">
        <f t="shared" si="36"/>
        <v>233</v>
      </c>
      <c r="AN94" s="24">
        <f t="shared" si="37"/>
        <v>202</v>
      </c>
      <c r="AO94" s="24">
        <f t="shared" si="38"/>
        <v>212</v>
      </c>
      <c r="AP94" s="24">
        <f t="shared" si="39"/>
        <v>224</v>
      </c>
      <c r="AQ94" s="24">
        <f t="shared" si="40"/>
        <v>192</v>
      </c>
      <c r="AR94" s="24">
        <f t="shared" si="41"/>
        <v>190</v>
      </c>
      <c r="AS94" s="25">
        <f t="shared" si="42"/>
        <v>208</v>
      </c>
    </row>
    <row r="95" spans="2:45">
      <c r="B95" s="23">
        <v>2025</v>
      </c>
      <c r="C95" s="24">
        <f t="shared" si="4"/>
        <v>278</v>
      </c>
      <c r="D95" s="24">
        <f t="shared" si="5"/>
        <v>418</v>
      </c>
      <c r="E95" s="24">
        <f t="shared" si="6"/>
        <v>309</v>
      </c>
      <c r="F95" s="24">
        <f t="shared" si="7"/>
        <v>306</v>
      </c>
      <c r="G95" s="24">
        <f t="shared" si="8"/>
        <v>341</v>
      </c>
      <c r="H95" s="24">
        <f t="shared" si="9"/>
        <v>342</v>
      </c>
      <c r="I95" s="24">
        <f t="shared" si="10"/>
        <v>716</v>
      </c>
      <c r="J95" s="24">
        <f t="shared" si="11"/>
        <v>538</v>
      </c>
      <c r="K95" s="24">
        <f t="shared" si="12"/>
        <v>439</v>
      </c>
      <c r="L95" s="24">
        <f t="shared" si="13"/>
        <v>298</v>
      </c>
      <c r="M95" s="24">
        <f t="shared" si="14"/>
        <v>595</v>
      </c>
      <c r="N95" s="24">
        <f t="shared" si="15"/>
        <v>334</v>
      </c>
      <c r="O95" s="25">
        <f t="shared" si="16"/>
        <v>307</v>
      </c>
      <c r="Q95" s="23">
        <v>2025</v>
      </c>
      <c r="R95" s="24">
        <f t="shared" si="17"/>
        <v>190</v>
      </c>
      <c r="S95" s="24">
        <f t="shared" si="18"/>
        <v>190</v>
      </c>
      <c r="T95" s="24">
        <f t="shared" si="19"/>
        <v>166</v>
      </c>
      <c r="U95" s="24">
        <f t="shared" si="20"/>
        <v>166</v>
      </c>
      <c r="V95" s="24">
        <f t="shared" si="21"/>
        <v>190</v>
      </c>
      <c r="W95" s="24">
        <f t="shared" si="22"/>
        <v>190</v>
      </c>
      <c r="X95" s="24">
        <f t="shared" si="23"/>
        <v>569</v>
      </c>
      <c r="Y95" s="24">
        <f t="shared" si="24"/>
        <v>403</v>
      </c>
      <c r="Z95" s="24">
        <f t="shared" si="25"/>
        <v>285</v>
      </c>
      <c r="AA95" s="24">
        <f t="shared" si="26"/>
        <v>119</v>
      </c>
      <c r="AB95" s="24">
        <f t="shared" si="27"/>
        <v>474</v>
      </c>
      <c r="AC95" s="24">
        <f t="shared" si="28"/>
        <v>190</v>
      </c>
      <c r="AD95" s="552">
        <f t="shared" si="29"/>
        <v>142</v>
      </c>
      <c r="AF95" s="23">
        <v>2025</v>
      </c>
      <c r="AG95" s="24">
        <f t="shared" si="30"/>
        <v>116</v>
      </c>
      <c r="AH95" s="24">
        <f t="shared" si="31"/>
        <v>270</v>
      </c>
      <c r="AI95" s="24">
        <f t="shared" si="32"/>
        <v>174</v>
      </c>
      <c r="AJ95" s="24">
        <f t="shared" si="33"/>
        <v>171</v>
      </c>
      <c r="AK95" s="24">
        <f t="shared" si="34"/>
        <v>186</v>
      </c>
      <c r="AL95" s="24">
        <f t="shared" si="35"/>
        <v>186</v>
      </c>
      <c r="AM95" s="24">
        <f t="shared" si="36"/>
        <v>219</v>
      </c>
      <c r="AN95" s="24">
        <f t="shared" si="37"/>
        <v>189</v>
      </c>
      <c r="AO95" s="24">
        <f t="shared" si="38"/>
        <v>199</v>
      </c>
      <c r="AP95" s="24">
        <f t="shared" si="39"/>
        <v>210</v>
      </c>
      <c r="AQ95" s="24">
        <f t="shared" si="40"/>
        <v>180</v>
      </c>
      <c r="AR95" s="24">
        <f t="shared" si="41"/>
        <v>178</v>
      </c>
      <c r="AS95" s="25">
        <f t="shared" si="42"/>
        <v>195</v>
      </c>
    </row>
    <row r="96" spans="2:45">
      <c r="B96" s="23">
        <v>2026</v>
      </c>
      <c r="C96" s="24">
        <f t="shared" si="4"/>
        <v>260</v>
      </c>
      <c r="D96" s="24">
        <f t="shared" si="5"/>
        <v>390</v>
      </c>
      <c r="E96" s="24">
        <f t="shared" si="6"/>
        <v>288</v>
      </c>
      <c r="F96" s="24">
        <f t="shared" si="7"/>
        <v>286</v>
      </c>
      <c r="G96" s="24">
        <f t="shared" si="8"/>
        <v>318</v>
      </c>
      <c r="H96" s="24">
        <f t="shared" si="9"/>
        <v>319</v>
      </c>
      <c r="I96" s="24">
        <f t="shared" si="10"/>
        <v>668</v>
      </c>
      <c r="J96" s="24">
        <f t="shared" si="11"/>
        <v>502</v>
      </c>
      <c r="K96" s="24">
        <f t="shared" si="12"/>
        <v>410</v>
      </c>
      <c r="L96" s="24">
        <f t="shared" si="13"/>
        <v>279</v>
      </c>
      <c r="M96" s="24">
        <f t="shared" si="14"/>
        <v>555</v>
      </c>
      <c r="N96" s="24">
        <f t="shared" si="15"/>
        <v>312</v>
      </c>
      <c r="O96" s="25">
        <f t="shared" si="16"/>
        <v>286</v>
      </c>
      <c r="Q96" s="23">
        <v>2026</v>
      </c>
      <c r="R96" s="24">
        <f t="shared" si="17"/>
        <v>177</v>
      </c>
      <c r="S96" s="24">
        <f t="shared" si="18"/>
        <v>177</v>
      </c>
      <c r="T96" s="24">
        <f t="shared" si="19"/>
        <v>155</v>
      </c>
      <c r="U96" s="24">
        <f t="shared" si="20"/>
        <v>155</v>
      </c>
      <c r="V96" s="24">
        <f t="shared" si="21"/>
        <v>177</v>
      </c>
      <c r="W96" s="24">
        <f t="shared" si="22"/>
        <v>177</v>
      </c>
      <c r="X96" s="24">
        <f t="shared" si="23"/>
        <v>531</v>
      </c>
      <c r="Y96" s="24">
        <f t="shared" si="24"/>
        <v>376</v>
      </c>
      <c r="Z96" s="24">
        <f t="shared" si="25"/>
        <v>266</v>
      </c>
      <c r="AA96" s="24">
        <f t="shared" si="26"/>
        <v>111</v>
      </c>
      <c r="AB96" s="24">
        <f t="shared" si="27"/>
        <v>443</v>
      </c>
      <c r="AC96" s="24">
        <f t="shared" si="28"/>
        <v>177</v>
      </c>
      <c r="AD96" s="552">
        <f t="shared" si="29"/>
        <v>133</v>
      </c>
      <c r="AF96" s="23">
        <v>2026</v>
      </c>
      <c r="AG96" s="24">
        <f t="shared" si="30"/>
        <v>109</v>
      </c>
      <c r="AH96" s="24">
        <f t="shared" si="31"/>
        <v>252</v>
      </c>
      <c r="AI96" s="24">
        <f t="shared" si="32"/>
        <v>162</v>
      </c>
      <c r="AJ96" s="24">
        <f t="shared" si="33"/>
        <v>160</v>
      </c>
      <c r="AK96" s="24">
        <f t="shared" si="34"/>
        <v>173</v>
      </c>
      <c r="AL96" s="24">
        <f t="shared" si="35"/>
        <v>174</v>
      </c>
      <c r="AM96" s="24">
        <f t="shared" si="36"/>
        <v>204</v>
      </c>
      <c r="AN96" s="24">
        <f t="shared" si="37"/>
        <v>176</v>
      </c>
      <c r="AO96" s="24">
        <f t="shared" si="38"/>
        <v>185</v>
      </c>
      <c r="AP96" s="24">
        <f t="shared" si="39"/>
        <v>196</v>
      </c>
      <c r="AQ96" s="24">
        <f t="shared" si="40"/>
        <v>168</v>
      </c>
      <c r="AR96" s="24">
        <f t="shared" si="41"/>
        <v>166</v>
      </c>
      <c r="AS96" s="25">
        <f t="shared" si="42"/>
        <v>182</v>
      </c>
    </row>
    <row r="97" spans="2:45">
      <c r="B97" s="23">
        <v>2027</v>
      </c>
      <c r="C97" s="24">
        <f t="shared" si="4"/>
        <v>241</v>
      </c>
      <c r="D97" s="24">
        <f t="shared" si="5"/>
        <v>362</v>
      </c>
      <c r="E97" s="24">
        <f t="shared" si="6"/>
        <v>268</v>
      </c>
      <c r="F97" s="24">
        <f t="shared" si="7"/>
        <v>266</v>
      </c>
      <c r="G97" s="24">
        <f t="shared" si="8"/>
        <v>296</v>
      </c>
      <c r="H97" s="24">
        <f t="shared" si="9"/>
        <v>296</v>
      </c>
      <c r="I97" s="24">
        <f t="shared" si="10"/>
        <v>621</v>
      </c>
      <c r="J97" s="24">
        <f t="shared" si="11"/>
        <v>466</v>
      </c>
      <c r="K97" s="24">
        <f t="shared" si="12"/>
        <v>381</v>
      </c>
      <c r="L97" s="24">
        <f t="shared" si="13"/>
        <v>259</v>
      </c>
      <c r="M97" s="24">
        <f t="shared" si="14"/>
        <v>516</v>
      </c>
      <c r="N97" s="24">
        <f t="shared" si="15"/>
        <v>289</v>
      </c>
      <c r="O97" s="25">
        <f t="shared" si="16"/>
        <v>266</v>
      </c>
      <c r="Q97" s="23">
        <v>2027</v>
      </c>
      <c r="R97" s="24">
        <f t="shared" si="17"/>
        <v>164</v>
      </c>
      <c r="S97" s="24">
        <f t="shared" si="18"/>
        <v>164</v>
      </c>
      <c r="T97" s="24">
        <f t="shared" si="19"/>
        <v>144</v>
      </c>
      <c r="U97" s="24">
        <f t="shared" si="20"/>
        <v>144</v>
      </c>
      <c r="V97" s="24">
        <f t="shared" si="21"/>
        <v>164</v>
      </c>
      <c r="W97" s="24">
        <f t="shared" si="22"/>
        <v>164</v>
      </c>
      <c r="X97" s="24">
        <f t="shared" si="23"/>
        <v>493</v>
      </c>
      <c r="Y97" s="24">
        <f t="shared" si="24"/>
        <v>349</v>
      </c>
      <c r="Z97" s="24">
        <f t="shared" si="25"/>
        <v>247</v>
      </c>
      <c r="AA97" s="24">
        <f t="shared" si="26"/>
        <v>103</v>
      </c>
      <c r="AB97" s="24">
        <f t="shared" si="27"/>
        <v>411</v>
      </c>
      <c r="AC97" s="24">
        <f t="shared" si="28"/>
        <v>164</v>
      </c>
      <c r="AD97" s="552">
        <f t="shared" si="29"/>
        <v>123</v>
      </c>
      <c r="AF97" s="23">
        <v>2027</v>
      </c>
      <c r="AG97" s="24">
        <f t="shared" si="30"/>
        <v>101</v>
      </c>
      <c r="AH97" s="24">
        <f t="shared" si="31"/>
        <v>234</v>
      </c>
      <c r="AI97" s="24">
        <f t="shared" si="32"/>
        <v>151</v>
      </c>
      <c r="AJ97" s="24">
        <f t="shared" si="33"/>
        <v>148</v>
      </c>
      <c r="AK97" s="24">
        <f t="shared" si="34"/>
        <v>161</v>
      </c>
      <c r="AL97" s="24">
        <f t="shared" si="35"/>
        <v>161</v>
      </c>
      <c r="AM97" s="24">
        <f t="shared" si="36"/>
        <v>190</v>
      </c>
      <c r="AN97" s="24">
        <f t="shared" si="37"/>
        <v>164</v>
      </c>
      <c r="AO97" s="24">
        <f t="shared" si="38"/>
        <v>172</v>
      </c>
      <c r="AP97" s="24">
        <f t="shared" si="39"/>
        <v>182</v>
      </c>
      <c r="AQ97" s="24">
        <f t="shared" si="40"/>
        <v>156</v>
      </c>
      <c r="AR97" s="24">
        <f t="shared" si="41"/>
        <v>154</v>
      </c>
      <c r="AS97" s="25">
        <f t="shared" si="42"/>
        <v>169</v>
      </c>
    </row>
    <row r="98" spans="2:45">
      <c r="B98" s="23">
        <v>2028</v>
      </c>
      <c r="C98" s="24">
        <f t="shared" si="4"/>
        <v>223</v>
      </c>
      <c r="D98" s="24">
        <f t="shared" si="5"/>
        <v>334</v>
      </c>
      <c r="E98" s="24">
        <f t="shared" si="6"/>
        <v>247</v>
      </c>
      <c r="F98" s="24">
        <f t="shared" si="7"/>
        <v>245</v>
      </c>
      <c r="G98" s="24">
        <f t="shared" si="8"/>
        <v>273</v>
      </c>
      <c r="H98" s="24">
        <f t="shared" si="9"/>
        <v>273</v>
      </c>
      <c r="I98" s="24">
        <f t="shared" si="10"/>
        <v>573</v>
      </c>
      <c r="J98" s="24">
        <f t="shared" si="11"/>
        <v>431</v>
      </c>
      <c r="K98" s="24">
        <f t="shared" si="12"/>
        <v>351</v>
      </c>
      <c r="L98" s="24">
        <f t="shared" si="13"/>
        <v>239</v>
      </c>
      <c r="M98" s="24">
        <f t="shared" si="14"/>
        <v>476</v>
      </c>
      <c r="N98" s="24">
        <f t="shared" si="15"/>
        <v>267</v>
      </c>
      <c r="O98" s="25">
        <f t="shared" si="16"/>
        <v>245</v>
      </c>
      <c r="Q98" s="23">
        <v>2028</v>
      </c>
      <c r="R98" s="24">
        <f t="shared" si="17"/>
        <v>152</v>
      </c>
      <c r="S98" s="24">
        <f t="shared" si="18"/>
        <v>152</v>
      </c>
      <c r="T98" s="24">
        <f t="shared" si="19"/>
        <v>133</v>
      </c>
      <c r="U98" s="24">
        <f t="shared" si="20"/>
        <v>133</v>
      </c>
      <c r="V98" s="24">
        <f t="shared" si="21"/>
        <v>152</v>
      </c>
      <c r="W98" s="24">
        <f t="shared" si="22"/>
        <v>152</v>
      </c>
      <c r="X98" s="24">
        <f t="shared" si="23"/>
        <v>455</v>
      </c>
      <c r="Y98" s="24">
        <f t="shared" si="24"/>
        <v>323</v>
      </c>
      <c r="Z98" s="24">
        <f t="shared" si="25"/>
        <v>228</v>
      </c>
      <c r="AA98" s="24">
        <f t="shared" si="26"/>
        <v>95</v>
      </c>
      <c r="AB98" s="24">
        <f t="shared" si="27"/>
        <v>380</v>
      </c>
      <c r="AC98" s="24">
        <f t="shared" si="28"/>
        <v>152</v>
      </c>
      <c r="AD98" s="552">
        <f t="shared" si="29"/>
        <v>114</v>
      </c>
      <c r="AF98" s="23">
        <v>2028</v>
      </c>
      <c r="AG98" s="24">
        <f t="shared" si="30"/>
        <v>93</v>
      </c>
      <c r="AH98" s="24">
        <f t="shared" si="31"/>
        <v>216</v>
      </c>
      <c r="AI98" s="24">
        <f t="shared" si="32"/>
        <v>139</v>
      </c>
      <c r="AJ98" s="24">
        <f t="shared" si="33"/>
        <v>137</v>
      </c>
      <c r="AK98" s="24">
        <f t="shared" si="34"/>
        <v>148</v>
      </c>
      <c r="AL98" s="24">
        <f t="shared" si="35"/>
        <v>149</v>
      </c>
      <c r="AM98" s="24">
        <f t="shared" si="36"/>
        <v>175</v>
      </c>
      <c r="AN98" s="24">
        <f t="shared" si="37"/>
        <v>151</v>
      </c>
      <c r="AO98" s="24">
        <f t="shared" si="38"/>
        <v>159</v>
      </c>
      <c r="AP98" s="24">
        <f t="shared" si="39"/>
        <v>168</v>
      </c>
      <c r="AQ98" s="24">
        <f t="shared" si="40"/>
        <v>144</v>
      </c>
      <c r="AR98" s="24">
        <f t="shared" si="41"/>
        <v>142</v>
      </c>
      <c r="AS98" s="25">
        <f t="shared" si="42"/>
        <v>156</v>
      </c>
    </row>
    <row r="99" spans="2:45">
      <c r="B99" s="23">
        <v>2029</v>
      </c>
      <c r="C99" s="24">
        <f t="shared" si="4"/>
        <v>204</v>
      </c>
      <c r="D99" s="24">
        <f t="shared" si="5"/>
        <v>307</v>
      </c>
      <c r="E99" s="24">
        <f t="shared" si="6"/>
        <v>227</v>
      </c>
      <c r="F99" s="24">
        <f t="shared" si="7"/>
        <v>225</v>
      </c>
      <c r="G99" s="24">
        <f t="shared" si="8"/>
        <v>250</v>
      </c>
      <c r="H99" s="24">
        <f t="shared" si="9"/>
        <v>250</v>
      </c>
      <c r="I99" s="24">
        <f t="shared" si="10"/>
        <v>525</v>
      </c>
      <c r="J99" s="24">
        <f t="shared" si="11"/>
        <v>395</v>
      </c>
      <c r="K99" s="24">
        <f t="shared" si="12"/>
        <v>322</v>
      </c>
      <c r="L99" s="24">
        <f t="shared" si="13"/>
        <v>219</v>
      </c>
      <c r="M99" s="24">
        <f t="shared" si="14"/>
        <v>436</v>
      </c>
      <c r="N99" s="24">
        <f t="shared" si="15"/>
        <v>245</v>
      </c>
      <c r="O99" s="25">
        <f t="shared" si="16"/>
        <v>225</v>
      </c>
      <c r="Q99" s="23">
        <v>2029</v>
      </c>
      <c r="R99" s="24">
        <f t="shared" si="17"/>
        <v>139</v>
      </c>
      <c r="S99" s="24">
        <f t="shared" si="18"/>
        <v>139</v>
      </c>
      <c r="T99" s="24">
        <f t="shared" si="19"/>
        <v>122</v>
      </c>
      <c r="U99" s="24">
        <f t="shared" si="20"/>
        <v>122</v>
      </c>
      <c r="V99" s="24">
        <f t="shared" si="21"/>
        <v>139</v>
      </c>
      <c r="W99" s="24">
        <f t="shared" si="22"/>
        <v>139</v>
      </c>
      <c r="X99" s="24">
        <f t="shared" si="23"/>
        <v>417</v>
      </c>
      <c r="Y99" s="24">
        <f t="shared" si="24"/>
        <v>296</v>
      </c>
      <c r="Z99" s="24">
        <f t="shared" si="25"/>
        <v>209</v>
      </c>
      <c r="AA99" s="24">
        <f t="shared" si="26"/>
        <v>87</v>
      </c>
      <c r="AB99" s="24">
        <f t="shared" si="27"/>
        <v>348</v>
      </c>
      <c r="AC99" s="24">
        <f t="shared" si="28"/>
        <v>139</v>
      </c>
      <c r="AD99" s="552">
        <f t="shared" si="29"/>
        <v>104</v>
      </c>
      <c r="AF99" s="23">
        <v>2029</v>
      </c>
      <c r="AG99" s="24">
        <f t="shared" si="30"/>
        <v>85</v>
      </c>
      <c r="AH99" s="24">
        <f t="shared" si="31"/>
        <v>198</v>
      </c>
      <c r="AI99" s="24">
        <f t="shared" si="32"/>
        <v>128</v>
      </c>
      <c r="AJ99" s="24">
        <f t="shared" si="33"/>
        <v>125</v>
      </c>
      <c r="AK99" s="24">
        <f t="shared" si="34"/>
        <v>136</v>
      </c>
      <c r="AL99" s="24">
        <f t="shared" si="35"/>
        <v>136</v>
      </c>
      <c r="AM99" s="24">
        <f t="shared" si="36"/>
        <v>160</v>
      </c>
      <c r="AN99" s="24">
        <f t="shared" si="37"/>
        <v>138</v>
      </c>
      <c r="AO99" s="24">
        <f t="shared" si="38"/>
        <v>146</v>
      </c>
      <c r="AP99" s="24">
        <f t="shared" si="39"/>
        <v>154</v>
      </c>
      <c r="AQ99" s="24">
        <f t="shared" si="40"/>
        <v>132</v>
      </c>
      <c r="AR99" s="24">
        <f t="shared" si="41"/>
        <v>130</v>
      </c>
      <c r="AS99" s="25">
        <f t="shared" si="42"/>
        <v>143</v>
      </c>
    </row>
    <row r="100" spans="2:45">
      <c r="B100" s="23">
        <v>2030</v>
      </c>
      <c r="C100" s="24">
        <f t="shared" si="4"/>
        <v>186</v>
      </c>
      <c r="D100" s="24">
        <f t="shared" si="5"/>
        <v>279</v>
      </c>
      <c r="E100" s="24">
        <f t="shared" si="6"/>
        <v>206</v>
      </c>
      <c r="F100" s="24">
        <f t="shared" si="7"/>
        <v>204</v>
      </c>
      <c r="G100" s="24">
        <f t="shared" si="8"/>
        <v>227</v>
      </c>
      <c r="H100" s="24">
        <f t="shared" si="9"/>
        <v>228</v>
      </c>
      <c r="I100" s="24">
        <f t="shared" si="10"/>
        <v>478</v>
      </c>
      <c r="J100" s="24">
        <f t="shared" si="11"/>
        <v>359</v>
      </c>
      <c r="K100" s="24">
        <f t="shared" si="12"/>
        <v>293</v>
      </c>
      <c r="L100" s="24">
        <f t="shared" si="13"/>
        <v>199</v>
      </c>
      <c r="M100" s="24">
        <f t="shared" si="14"/>
        <v>397</v>
      </c>
      <c r="N100" s="24">
        <f t="shared" si="15"/>
        <v>223</v>
      </c>
      <c r="O100" s="25">
        <f t="shared" si="16"/>
        <v>204</v>
      </c>
      <c r="Q100" s="23">
        <v>2030</v>
      </c>
      <c r="R100" s="24">
        <f t="shared" si="17"/>
        <v>126</v>
      </c>
      <c r="S100" s="24">
        <f t="shared" si="18"/>
        <v>126</v>
      </c>
      <c r="T100" s="24">
        <f t="shared" si="19"/>
        <v>111</v>
      </c>
      <c r="U100" s="24">
        <f t="shared" si="20"/>
        <v>111</v>
      </c>
      <c r="V100" s="24">
        <f t="shared" si="21"/>
        <v>126</v>
      </c>
      <c r="W100" s="24">
        <f t="shared" si="22"/>
        <v>126</v>
      </c>
      <c r="X100" s="24">
        <f t="shared" si="23"/>
        <v>380</v>
      </c>
      <c r="Y100" s="24">
        <f t="shared" si="24"/>
        <v>269</v>
      </c>
      <c r="Z100" s="24">
        <f t="shared" si="25"/>
        <v>190</v>
      </c>
      <c r="AA100" s="24">
        <f t="shared" si="26"/>
        <v>79</v>
      </c>
      <c r="AB100" s="24">
        <f t="shared" si="27"/>
        <v>316</v>
      </c>
      <c r="AC100" s="24">
        <f t="shared" si="28"/>
        <v>126</v>
      </c>
      <c r="AD100" s="552">
        <f t="shared" si="29"/>
        <v>95</v>
      </c>
      <c r="AF100" s="23">
        <v>2030</v>
      </c>
      <c r="AG100" s="24">
        <f t="shared" si="30"/>
        <v>78</v>
      </c>
      <c r="AH100" s="24">
        <f t="shared" si="31"/>
        <v>180</v>
      </c>
      <c r="AI100" s="24">
        <f t="shared" si="32"/>
        <v>116</v>
      </c>
      <c r="AJ100" s="24">
        <f t="shared" si="33"/>
        <v>114</v>
      </c>
      <c r="AK100" s="24">
        <f t="shared" si="34"/>
        <v>124</v>
      </c>
      <c r="AL100" s="24">
        <f t="shared" si="35"/>
        <v>124</v>
      </c>
      <c r="AM100" s="24">
        <f t="shared" si="36"/>
        <v>146</v>
      </c>
      <c r="AN100" s="24">
        <f t="shared" si="37"/>
        <v>126</v>
      </c>
      <c r="AO100" s="24">
        <f t="shared" si="38"/>
        <v>132</v>
      </c>
      <c r="AP100" s="24">
        <f t="shared" si="39"/>
        <v>140</v>
      </c>
      <c r="AQ100" s="24">
        <f t="shared" si="40"/>
        <v>120</v>
      </c>
      <c r="AR100" s="24">
        <f t="shared" si="41"/>
        <v>118</v>
      </c>
      <c r="AS100" s="25">
        <f t="shared" si="42"/>
        <v>130</v>
      </c>
    </row>
    <row r="101" spans="2:45">
      <c r="B101" s="23">
        <v>2031</v>
      </c>
      <c r="C101" s="24">
        <f t="shared" si="4"/>
        <v>178</v>
      </c>
      <c r="D101" s="24">
        <f t="shared" si="5"/>
        <v>268</v>
      </c>
      <c r="E101" s="24">
        <f t="shared" si="6"/>
        <v>198</v>
      </c>
      <c r="F101" s="24">
        <f t="shared" si="7"/>
        <v>196</v>
      </c>
      <c r="G101" s="24">
        <f t="shared" si="8"/>
        <v>218</v>
      </c>
      <c r="H101" s="24">
        <f t="shared" si="9"/>
        <v>219</v>
      </c>
      <c r="I101" s="24">
        <f t="shared" si="10"/>
        <v>458</v>
      </c>
      <c r="J101" s="24">
        <f t="shared" si="11"/>
        <v>344</v>
      </c>
      <c r="K101" s="24">
        <f t="shared" si="12"/>
        <v>281</v>
      </c>
      <c r="L101" s="24">
        <f t="shared" si="13"/>
        <v>191</v>
      </c>
      <c r="M101" s="24">
        <f t="shared" si="14"/>
        <v>381</v>
      </c>
      <c r="N101" s="24">
        <f t="shared" si="15"/>
        <v>214</v>
      </c>
      <c r="O101" s="25">
        <f t="shared" si="16"/>
        <v>196</v>
      </c>
      <c r="Q101" s="23">
        <v>2031</v>
      </c>
      <c r="R101" s="24">
        <f t="shared" si="17"/>
        <v>121</v>
      </c>
      <c r="S101" s="24">
        <f t="shared" si="18"/>
        <v>121</v>
      </c>
      <c r="T101" s="24">
        <f t="shared" si="19"/>
        <v>106</v>
      </c>
      <c r="U101" s="24">
        <f t="shared" si="20"/>
        <v>106</v>
      </c>
      <c r="V101" s="24">
        <f t="shared" si="21"/>
        <v>121</v>
      </c>
      <c r="W101" s="24">
        <f t="shared" si="22"/>
        <v>121</v>
      </c>
      <c r="X101" s="24">
        <f t="shared" si="23"/>
        <v>364</v>
      </c>
      <c r="Y101" s="24">
        <f t="shared" si="24"/>
        <v>258</v>
      </c>
      <c r="Z101" s="24">
        <f t="shared" si="25"/>
        <v>182</v>
      </c>
      <c r="AA101" s="24">
        <f t="shared" si="26"/>
        <v>76</v>
      </c>
      <c r="AB101" s="24">
        <f t="shared" si="27"/>
        <v>304</v>
      </c>
      <c r="AC101" s="24">
        <f t="shared" si="28"/>
        <v>121</v>
      </c>
      <c r="AD101" s="552">
        <f t="shared" si="29"/>
        <v>91</v>
      </c>
      <c r="AF101" s="23">
        <v>2031</v>
      </c>
      <c r="AG101" s="24">
        <f t="shared" si="30"/>
        <v>74</v>
      </c>
      <c r="AH101" s="24">
        <f t="shared" si="31"/>
        <v>173</v>
      </c>
      <c r="AI101" s="24">
        <f t="shared" si="32"/>
        <v>111</v>
      </c>
      <c r="AJ101" s="24">
        <f t="shared" si="33"/>
        <v>109</v>
      </c>
      <c r="AK101" s="24">
        <f t="shared" si="34"/>
        <v>119</v>
      </c>
      <c r="AL101" s="24">
        <f t="shared" si="35"/>
        <v>119</v>
      </c>
      <c r="AM101" s="24">
        <f t="shared" si="36"/>
        <v>140</v>
      </c>
      <c r="AN101" s="24">
        <f t="shared" si="37"/>
        <v>121</v>
      </c>
      <c r="AO101" s="24">
        <f t="shared" si="38"/>
        <v>127</v>
      </c>
      <c r="AP101" s="24">
        <f t="shared" si="39"/>
        <v>134</v>
      </c>
      <c r="AQ101" s="24">
        <f t="shared" si="40"/>
        <v>115</v>
      </c>
      <c r="AR101" s="24">
        <f t="shared" si="41"/>
        <v>114</v>
      </c>
      <c r="AS101" s="25">
        <f t="shared" si="42"/>
        <v>125</v>
      </c>
    </row>
    <row r="102" spans="2:45">
      <c r="B102" s="23">
        <v>2032</v>
      </c>
      <c r="C102" s="24">
        <f t="shared" si="4"/>
        <v>171</v>
      </c>
      <c r="D102" s="24">
        <f t="shared" si="5"/>
        <v>256</v>
      </c>
      <c r="E102" s="24">
        <f t="shared" si="6"/>
        <v>190</v>
      </c>
      <c r="F102" s="24">
        <f t="shared" si="7"/>
        <v>188</v>
      </c>
      <c r="G102" s="24">
        <f t="shared" si="8"/>
        <v>209</v>
      </c>
      <c r="H102" s="24">
        <f t="shared" si="9"/>
        <v>210</v>
      </c>
      <c r="I102" s="24">
        <f t="shared" si="10"/>
        <v>439</v>
      </c>
      <c r="J102" s="24">
        <f t="shared" si="11"/>
        <v>330</v>
      </c>
      <c r="K102" s="24">
        <f t="shared" si="12"/>
        <v>269</v>
      </c>
      <c r="L102" s="24">
        <f t="shared" si="13"/>
        <v>183</v>
      </c>
      <c r="M102" s="24">
        <f t="shared" si="14"/>
        <v>365</v>
      </c>
      <c r="N102" s="24">
        <f t="shared" si="15"/>
        <v>205</v>
      </c>
      <c r="O102" s="25">
        <f t="shared" si="16"/>
        <v>188</v>
      </c>
      <c r="Q102" s="23">
        <v>2032</v>
      </c>
      <c r="R102" s="24">
        <f t="shared" si="17"/>
        <v>116</v>
      </c>
      <c r="S102" s="24">
        <f t="shared" si="18"/>
        <v>116</v>
      </c>
      <c r="T102" s="24">
        <f t="shared" si="19"/>
        <v>102</v>
      </c>
      <c r="U102" s="24">
        <f t="shared" si="20"/>
        <v>102</v>
      </c>
      <c r="V102" s="24">
        <f t="shared" si="21"/>
        <v>116</v>
      </c>
      <c r="W102" s="24">
        <f t="shared" si="22"/>
        <v>116</v>
      </c>
      <c r="X102" s="24">
        <f t="shared" si="23"/>
        <v>349</v>
      </c>
      <c r="Y102" s="24">
        <f t="shared" si="24"/>
        <v>247</v>
      </c>
      <c r="Z102" s="24">
        <f t="shared" si="25"/>
        <v>175</v>
      </c>
      <c r="AA102" s="24">
        <f t="shared" si="26"/>
        <v>73</v>
      </c>
      <c r="AB102" s="24">
        <f t="shared" si="27"/>
        <v>291</v>
      </c>
      <c r="AC102" s="24">
        <f t="shared" si="28"/>
        <v>116</v>
      </c>
      <c r="AD102" s="552">
        <f t="shared" si="29"/>
        <v>87</v>
      </c>
      <c r="AF102" s="23">
        <v>2032</v>
      </c>
      <c r="AG102" s="24">
        <f t="shared" si="30"/>
        <v>71</v>
      </c>
      <c r="AH102" s="24">
        <f t="shared" si="31"/>
        <v>166</v>
      </c>
      <c r="AI102" s="24">
        <f t="shared" si="32"/>
        <v>107</v>
      </c>
      <c r="AJ102" s="24">
        <f t="shared" si="33"/>
        <v>105</v>
      </c>
      <c r="AK102" s="24">
        <f t="shared" si="34"/>
        <v>114</v>
      </c>
      <c r="AL102" s="24">
        <f t="shared" si="35"/>
        <v>114</v>
      </c>
      <c r="AM102" s="24">
        <f t="shared" si="36"/>
        <v>134</v>
      </c>
      <c r="AN102" s="24">
        <f t="shared" si="37"/>
        <v>116</v>
      </c>
      <c r="AO102" s="24">
        <f t="shared" si="38"/>
        <v>122</v>
      </c>
      <c r="AP102" s="24">
        <f t="shared" si="39"/>
        <v>129</v>
      </c>
      <c r="AQ102" s="24">
        <f t="shared" si="40"/>
        <v>110</v>
      </c>
      <c r="AR102" s="24">
        <f t="shared" si="41"/>
        <v>109</v>
      </c>
      <c r="AS102" s="25">
        <f t="shared" si="42"/>
        <v>120</v>
      </c>
    </row>
    <row r="103" spans="2:45">
      <c r="B103" s="23">
        <v>2033</v>
      </c>
      <c r="C103" s="24">
        <f t="shared" si="4"/>
        <v>163</v>
      </c>
      <c r="D103" s="24">
        <f t="shared" si="5"/>
        <v>245</v>
      </c>
      <c r="E103" s="24">
        <f t="shared" si="6"/>
        <v>181</v>
      </c>
      <c r="F103" s="24">
        <f t="shared" si="7"/>
        <v>180</v>
      </c>
      <c r="G103" s="24">
        <f t="shared" si="8"/>
        <v>200</v>
      </c>
      <c r="H103" s="24">
        <f t="shared" si="9"/>
        <v>200</v>
      </c>
      <c r="I103" s="24">
        <f t="shared" si="10"/>
        <v>420</v>
      </c>
      <c r="J103" s="24">
        <f t="shared" si="11"/>
        <v>316</v>
      </c>
      <c r="K103" s="24">
        <f t="shared" si="12"/>
        <v>258</v>
      </c>
      <c r="L103" s="24">
        <f t="shared" si="13"/>
        <v>175</v>
      </c>
      <c r="M103" s="24">
        <f t="shared" si="14"/>
        <v>349</v>
      </c>
      <c r="N103" s="24">
        <f t="shared" si="15"/>
        <v>196</v>
      </c>
      <c r="O103" s="25">
        <f t="shared" si="16"/>
        <v>180</v>
      </c>
      <c r="Q103" s="23">
        <v>2033</v>
      </c>
      <c r="R103" s="24">
        <f t="shared" si="17"/>
        <v>111</v>
      </c>
      <c r="S103" s="24">
        <f t="shared" si="18"/>
        <v>111</v>
      </c>
      <c r="T103" s="24">
        <f t="shared" si="19"/>
        <v>97</v>
      </c>
      <c r="U103" s="24">
        <f t="shared" si="20"/>
        <v>97</v>
      </c>
      <c r="V103" s="24">
        <f t="shared" si="21"/>
        <v>111</v>
      </c>
      <c r="W103" s="24">
        <f t="shared" si="22"/>
        <v>111</v>
      </c>
      <c r="X103" s="24">
        <f t="shared" si="23"/>
        <v>334</v>
      </c>
      <c r="Y103" s="24">
        <f t="shared" si="24"/>
        <v>236</v>
      </c>
      <c r="Z103" s="24">
        <f t="shared" si="25"/>
        <v>167</v>
      </c>
      <c r="AA103" s="24">
        <f t="shared" si="26"/>
        <v>70</v>
      </c>
      <c r="AB103" s="24">
        <f t="shared" si="27"/>
        <v>278</v>
      </c>
      <c r="AC103" s="24">
        <f t="shared" si="28"/>
        <v>111</v>
      </c>
      <c r="AD103" s="552">
        <f t="shared" si="29"/>
        <v>84</v>
      </c>
      <c r="AF103" s="23">
        <v>2033</v>
      </c>
      <c r="AG103" s="24">
        <f t="shared" si="30"/>
        <v>68</v>
      </c>
      <c r="AH103" s="24">
        <f t="shared" si="31"/>
        <v>158</v>
      </c>
      <c r="AI103" s="24">
        <f t="shared" si="32"/>
        <v>102</v>
      </c>
      <c r="AJ103" s="24">
        <f t="shared" si="33"/>
        <v>100</v>
      </c>
      <c r="AK103" s="24">
        <f t="shared" si="34"/>
        <v>109</v>
      </c>
      <c r="AL103" s="24">
        <f t="shared" si="35"/>
        <v>109</v>
      </c>
      <c r="AM103" s="24">
        <f t="shared" si="36"/>
        <v>128</v>
      </c>
      <c r="AN103" s="24">
        <f t="shared" si="37"/>
        <v>111</v>
      </c>
      <c r="AO103" s="24">
        <f t="shared" si="38"/>
        <v>116</v>
      </c>
      <c r="AP103" s="24">
        <f t="shared" si="39"/>
        <v>123</v>
      </c>
      <c r="AQ103" s="24">
        <f t="shared" si="40"/>
        <v>106</v>
      </c>
      <c r="AR103" s="24">
        <f t="shared" si="41"/>
        <v>104</v>
      </c>
      <c r="AS103" s="25">
        <f t="shared" si="42"/>
        <v>114</v>
      </c>
    </row>
    <row r="104" spans="2:45">
      <c r="B104" s="23">
        <v>2034</v>
      </c>
      <c r="C104" s="24">
        <f t="shared" si="4"/>
        <v>156</v>
      </c>
      <c r="D104" s="24">
        <f t="shared" si="5"/>
        <v>234</v>
      </c>
      <c r="E104" s="24">
        <f t="shared" si="6"/>
        <v>173</v>
      </c>
      <c r="F104" s="24">
        <f t="shared" si="7"/>
        <v>172</v>
      </c>
      <c r="G104" s="24">
        <f t="shared" si="8"/>
        <v>191</v>
      </c>
      <c r="H104" s="24">
        <f t="shared" si="9"/>
        <v>191</v>
      </c>
      <c r="I104" s="24">
        <f t="shared" si="10"/>
        <v>401</v>
      </c>
      <c r="J104" s="24">
        <f t="shared" si="11"/>
        <v>301</v>
      </c>
      <c r="K104" s="24">
        <f t="shared" si="12"/>
        <v>246</v>
      </c>
      <c r="L104" s="24">
        <f t="shared" si="13"/>
        <v>167</v>
      </c>
      <c r="M104" s="24">
        <f t="shared" si="14"/>
        <v>333</v>
      </c>
      <c r="N104" s="24">
        <f t="shared" si="15"/>
        <v>187</v>
      </c>
      <c r="O104" s="25">
        <f t="shared" si="16"/>
        <v>172</v>
      </c>
      <c r="Q104" s="23">
        <v>2034</v>
      </c>
      <c r="R104" s="24">
        <f t="shared" si="17"/>
        <v>106</v>
      </c>
      <c r="S104" s="24">
        <f t="shared" si="18"/>
        <v>106</v>
      </c>
      <c r="T104" s="24">
        <f t="shared" si="19"/>
        <v>93</v>
      </c>
      <c r="U104" s="24">
        <f t="shared" si="20"/>
        <v>93</v>
      </c>
      <c r="V104" s="24">
        <f t="shared" si="21"/>
        <v>106</v>
      </c>
      <c r="W104" s="24">
        <f t="shared" si="22"/>
        <v>106</v>
      </c>
      <c r="X104" s="24">
        <f t="shared" si="23"/>
        <v>319</v>
      </c>
      <c r="Y104" s="24">
        <f t="shared" si="24"/>
        <v>226</v>
      </c>
      <c r="Z104" s="24">
        <f t="shared" si="25"/>
        <v>159</v>
      </c>
      <c r="AA104" s="24">
        <f t="shared" si="26"/>
        <v>66</v>
      </c>
      <c r="AB104" s="24">
        <f t="shared" si="27"/>
        <v>266</v>
      </c>
      <c r="AC104" s="24">
        <f t="shared" si="28"/>
        <v>106</v>
      </c>
      <c r="AD104" s="552">
        <f t="shared" si="29"/>
        <v>80</v>
      </c>
      <c r="AF104" s="23">
        <v>2034</v>
      </c>
      <c r="AG104" s="24">
        <f t="shared" si="30"/>
        <v>65</v>
      </c>
      <c r="AH104" s="24">
        <f t="shared" si="31"/>
        <v>151</v>
      </c>
      <c r="AI104" s="24">
        <f t="shared" si="32"/>
        <v>97</v>
      </c>
      <c r="AJ104" s="24">
        <f t="shared" si="33"/>
        <v>96</v>
      </c>
      <c r="AK104" s="24">
        <f t="shared" si="34"/>
        <v>104</v>
      </c>
      <c r="AL104" s="24">
        <f t="shared" si="35"/>
        <v>104</v>
      </c>
      <c r="AM104" s="24">
        <f t="shared" si="36"/>
        <v>122</v>
      </c>
      <c r="AN104" s="24">
        <f t="shared" si="37"/>
        <v>106</v>
      </c>
      <c r="AO104" s="24">
        <f t="shared" si="38"/>
        <v>111</v>
      </c>
      <c r="AP104" s="24">
        <f t="shared" si="39"/>
        <v>118</v>
      </c>
      <c r="AQ104" s="24">
        <f t="shared" si="40"/>
        <v>101</v>
      </c>
      <c r="AR104" s="24">
        <f t="shared" si="41"/>
        <v>100</v>
      </c>
      <c r="AS104" s="25">
        <f t="shared" si="42"/>
        <v>109</v>
      </c>
    </row>
    <row r="105" spans="2:45">
      <c r="B105" s="23">
        <v>2035</v>
      </c>
      <c r="C105" s="24">
        <f t="shared" si="4"/>
        <v>148</v>
      </c>
      <c r="D105" s="24">
        <f t="shared" si="5"/>
        <v>223</v>
      </c>
      <c r="E105" s="24">
        <f t="shared" si="6"/>
        <v>165</v>
      </c>
      <c r="F105" s="24">
        <f t="shared" si="7"/>
        <v>163</v>
      </c>
      <c r="G105" s="24">
        <f t="shared" si="8"/>
        <v>182</v>
      </c>
      <c r="H105" s="24">
        <f t="shared" si="9"/>
        <v>182</v>
      </c>
      <c r="I105" s="24">
        <f t="shared" si="10"/>
        <v>382</v>
      </c>
      <c r="J105" s="24">
        <f t="shared" si="11"/>
        <v>287</v>
      </c>
      <c r="K105" s="24">
        <f t="shared" si="12"/>
        <v>234</v>
      </c>
      <c r="L105" s="24">
        <f t="shared" si="13"/>
        <v>159</v>
      </c>
      <c r="M105" s="24">
        <f t="shared" si="14"/>
        <v>317</v>
      </c>
      <c r="N105" s="24">
        <f t="shared" si="15"/>
        <v>178</v>
      </c>
      <c r="O105" s="25">
        <f t="shared" si="16"/>
        <v>164</v>
      </c>
      <c r="Q105" s="23">
        <v>2035</v>
      </c>
      <c r="R105" s="24">
        <f t="shared" si="17"/>
        <v>101</v>
      </c>
      <c r="S105" s="24">
        <f t="shared" si="18"/>
        <v>101</v>
      </c>
      <c r="T105" s="24">
        <f t="shared" si="19"/>
        <v>88</v>
      </c>
      <c r="U105" s="24">
        <f t="shared" si="20"/>
        <v>88</v>
      </c>
      <c r="V105" s="24">
        <f t="shared" si="21"/>
        <v>101</v>
      </c>
      <c r="W105" s="24">
        <f t="shared" si="22"/>
        <v>101</v>
      </c>
      <c r="X105" s="24">
        <f t="shared" si="23"/>
        <v>304</v>
      </c>
      <c r="Y105" s="24">
        <f t="shared" si="24"/>
        <v>215</v>
      </c>
      <c r="Z105" s="24">
        <f t="shared" si="25"/>
        <v>152</v>
      </c>
      <c r="AA105" s="24">
        <f t="shared" si="26"/>
        <v>63</v>
      </c>
      <c r="AB105" s="24">
        <f t="shared" si="27"/>
        <v>253</v>
      </c>
      <c r="AC105" s="24">
        <f t="shared" si="28"/>
        <v>101</v>
      </c>
      <c r="AD105" s="552">
        <f t="shared" si="29"/>
        <v>76</v>
      </c>
      <c r="AF105" s="23">
        <v>2035</v>
      </c>
      <c r="AG105" s="24">
        <f t="shared" si="30"/>
        <v>62</v>
      </c>
      <c r="AH105" s="24">
        <f t="shared" si="31"/>
        <v>144</v>
      </c>
      <c r="AI105" s="24">
        <f t="shared" si="32"/>
        <v>93</v>
      </c>
      <c r="AJ105" s="24">
        <f t="shared" si="33"/>
        <v>91</v>
      </c>
      <c r="AK105" s="24">
        <f t="shared" si="34"/>
        <v>99</v>
      </c>
      <c r="AL105" s="24">
        <f t="shared" si="35"/>
        <v>99</v>
      </c>
      <c r="AM105" s="24">
        <f t="shared" si="36"/>
        <v>117</v>
      </c>
      <c r="AN105" s="24">
        <f t="shared" si="37"/>
        <v>101</v>
      </c>
      <c r="AO105" s="24">
        <f t="shared" si="38"/>
        <v>106</v>
      </c>
      <c r="AP105" s="24">
        <f t="shared" si="39"/>
        <v>112</v>
      </c>
      <c r="AQ105" s="24">
        <f t="shared" si="40"/>
        <v>96</v>
      </c>
      <c r="AR105" s="24">
        <f t="shared" si="41"/>
        <v>95</v>
      </c>
      <c r="AS105" s="25">
        <f t="shared" si="42"/>
        <v>104</v>
      </c>
    </row>
    <row r="106" spans="2:45">
      <c r="B106" s="23">
        <v>2036</v>
      </c>
      <c r="C106" s="24">
        <f t="shared" si="4"/>
        <v>141</v>
      </c>
      <c r="D106" s="24">
        <f t="shared" si="5"/>
        <v>212</v>
      </c>
      <c r="E106" s="24">
        <f t="shared" si="6"/>
        <v>157</v>
      </c>
      <c r="F106" s="24">
        <f t="shared" si="7"/>
        <v>155</v>
      </c>
      <c r="G106" s="24">
        <f t="shared" si="8"/>
        <v>173</v>
      </c>
      <c r="H106" s="24">
        <f t="shared" si="9"/>
        <v>173</v>
      </c>
      <c r="I106" s="24">
        <f t="shared" si="10"/>
        <v>363</v>
      </c>
      <c r="J106" s="24">
        <f t="shared" si="11"/>
        <v>273</v>
      </c>
      <c r="K106" s="24">
        <f t="shared" si="12"/>
        <v>223</v>
      </c>
      <c r="L106" s="24">
        <f t="shared" si="13"/>
        <v>151</v>
      </c>
      <c r="M106" s="24">
        <f t="shared" si="14"/>
        <v>302</v>
      </c>
      <c r="N106" s="24">
        <f t="shared" si="15"/>
        <v>169</v>
      </c>
      <c r="O106" s="25">
        <f t="shared" si="16"/>
        <v>155</v>
      </c>
      <c r="Q106" s="23">
        <v>2036</v>
      </c>
      <c r="R106" s="24">
        <f t="shared" si="17"/>
        <v>96</v>
      </c>
      <c r="S106" s="24">
        <f t="shared" si="18"/>
        <v>96</v>
      </c>
      <c r="T106" s="24">
        <f t="shared" si="19"/>
        <v>84</v>
      </c>
      <c r="U106" s="24">
        <f t="shared" si="20"/>
        <v>84</v>
      </c>
      <c r="V106" s="24">
        <f t="shared" si="21"/>
        <v>96</v>
      </c>
      <c r="W106" s="24">
        <f t="shared" si="22"/>
        <v>96</v>
      </c>
      <c r="X106" s="24">
        <f t="shared" si="23"/>
        <v>288</v>
      </c>
      <c r="Y106" s="24">
        <f t="shared" si="24"/>
        <v>204</v>
      </c>
      <c r="Z106" s="24">
        <f t="shared" si="25"/>
        <v>144</v>
      </c>
      <c r="AA106" s="24">
        <f t="shared" si="26"/>
        <v>60</v>
      </c>
      <c r="AB106" s="24">
        <f t="shared" si="27"/>
        <v>240</v>
      </c>
      <c r="AC106" s="24">
        <f t="shared" si="28"/>
        <v>96</v>
      </c>
      <c r="AD106" s="552">
        <f t="shared" si="29"/>
        <v>72</v>
      </c>
      <c r="AF106" s="23">
        <v>2036</v>
      </c>
      <c r="AG106" s="24">
        <f t="shared" si="30"/>
        <v>59</v>
      </c>
      <c r="AH106" s="24">
        <f t="shared" si="31"/>
        <v>137</v>
      </c>
      <c r="AI106" s="24">
        <f t="shared" si="32"/>
        <v>88</v>
      </c>
      <c r="AJ106" s="24">
        <f t="shared" si="33"/>
        <v>87</v>
      </c>
      <c r="AK106" s="24">
        <f t="shared" si="34"/>
        <v>94</v>
      </c>
      <c r="AL106" s="24">
        <f t="shared" si="35"/>
        <v>94</v>
      </c>
      <c r="AM106" s="24">
        <f t="shared" si="36"/>
        <v>111</v>
      </c>
      <c r="AN106" s="24">
        <f t="shared" si="37"/>
        <v>96</v>
      </c>
      <c r="AO106" s="24">
        <f t="shared" si="38"/>
        <v>101</v>
      </c>
      <c r="AP106" s="24">
        <f t="shared" si="39"/>
        <v>106</v>
      </c>
      <c r="AQ106" s="24">
        <f t="shared" si="40"/>
        <v>91</v>
      </c>
      <c r="AR106" s="24">
        <f t="shared" si="41"/>
        <v>90</v>
      </c>
      <c r="AS106" s="25">
        <f t="shared" si="42"/>
        <v>99</v>
      </c>
    </row>
    <row r="107" spans="2:45">
      <c r="B107" s="23">
        <v>2037</v>
      </c>
      <c r="C107" s="24">
        <f t="shared" si="4"/>
        <v>134</v>
      </c>
      <c r="D107" s="24">
        <f t="shared" si="5"/>
        <v>201</v>
      </c>
      <c r="E107" s="24">
        <f t="shared" si="6"/>
        <v>148</v>
      </c>
      <c r="F107" s="24">
        <f t="shared" si="7"/>
        <v>147</v>
      </c>
      <c r="G107" s="24">
        <f t="shared" si="8"/>
        <v>164</v>
      </c>
      <c r="H107" s="24">
        <f t="shared" si="9"/>
        <v>164</v>
      </c>
      <c r="I107" s="24">
        <f t="shared" si="10"/>
        <v>344</v>
      </c>
      <c r="J107" s="24">
        <f t="shared" si="11"/>
        <v>258</v>
      </c>
      <c r="K107" s="24">
        <f t="shared" si="12"/>
        <v>211</v>
      </c>
      <c r="L107" s="24">
        <f t="shared" si="13"/>
        <v>143</v>
      </c>
      <c r="M107" s="24">
        <f t="shared" si="14"/>
        <v>286</v>
      </c>
      <c r="N107" s="24">
        <f t="shared" si="15"/>
        <v>160</v>
      </c>
      <c r="O107" s="25">
        <f t="shared" si="16"/>
        <v>147</v>
      </c>
      <c r="Q107" s="23">
        <v>2037</v>
      </c>
      <c r="R107" s="24">
        <f t="shared" si="17"/>
        <v>91</v>
      </c>
      <c r="S107" s="24">
        <f t="shared" si="18"/>
        <v>91</v>
      </c>
      <c r="T107" s="24">
        <f t="shared" si="19"/>
        <v>80</v>
      </c>
      <c r="U107" s="24">
        <f t="shared" si="20"/>
        <v>80</v>
      </c>
      <c r="V107" s="24">
        <f t="shared" si="21"/>
        <v>91</v>
      </c>
      <c r="W107" s="24">
        <f t="shared" si="22"/>
        <v>91</v>
      </c>
      <c r="X107" s="24">
        <f t="shared" si="23"/>
        <v>273</v>
      </c>
      <c r="Y107" s="24">
        <f t="shared" si="24"/>
        <v>194</v>
      </c>
      <c r="Z107" s="24">
        <f t="shared" si="25"/>
        <v>137</v>
      </c>
      <c r="AA107" s="24">
        <f t="shared" si="26"/>
        <v>57</v>
      </c>
      <c r="AB107" s="24">
        <f t="shared" si="27"/>
        <v>228</v>
      </c>
      <c r="AC107" s="24">
        <f t="shared" si="28"/>
        <v>91</v>
      </c>
      <c r="AD107" s="552">
        <f t="shared" si="29"/>
        <v>68</v>
      </c>
      <c r="AF107" s="23">
        <v>2037</v>
      </c>
      <c r="AG107" s="24">
        <f t="shared" si="30"/>
        <v>56</v>
      </c>
      <c r="AH107" s="24">
        <f t="shared" si="31"/>
        <v>130</v>
      </c>
      <c r="AI107" s="24">
        <f t="shared" si="32"/>
        <v>84</v>
      </c>
      <c r="AJ107" s="24">
        <f t="shared" si="33"/>
        <v>82</v>
      </c>
      <c r="AK107" s="24">
        <f t="shared" si="34"/>
        <v>89</v>
      </c>
      <c r="AL107" s="24">
        <f t="shared" si="35"/>
        <v>89</v>
      </c>
      <c r="AM107" s="24">
        <f t="shared" si="36"/>
        <v>105</v>
      </c>
      <c r="AN107" s="24">
        <f t="shared" si="37"/>
        <v>91</v>
      </c>
      <c r="AO107" s="24">
        <f t="shared" si="38"/>
        <v>95</v>
      </c>
      <c r="AP107" s="24">
        <f t="shared" si="39"/>
        <v>101</v>
      </c>
      <c r="AQ107" s="24">
        <f t="shared" si="40"/>
        <v>86</v>
      </c>
      <c r="AR107" s="24">
        <f t="shared" si="41"/>
        <v>85</v>
      </c>
      <c r="AS107" s="25">
        <f t="shared" si="42"/>
        <v>94</v>
      </c>
    </row>
    <row r="108" spans="2:45">
      <c r="B108" s="23">
        <v>2038</v>
      </c>
      <c r="C108" s="24">
        <f t="shared" si="4"/>
        <v>126</v>
      </c>
      <c r="D108" s="24">
        <f t="shared" si="5"/>
        <v>190</v>
      </c>
      <c r="E108" s="24">
        <f t="shared" si="6"/>
        <v>140</v>
      </c>
      <c r="F108" s="24">
        <f t="shared" si="7"/>
        <v>139</v>
      </c>
      <c r="G108" s="24">
        <f t="shared" si="8"/>
        <v>155</v>
      </c>
      <c r="H108" s="24">
        <f t="shared" si="9"/>
        <v>155</v>
      </c>
      <c r="I108" s="24">
        <f t="shared" si="10"/>
        <v>325</v>
      </c>
      <c r="J108" s="24">
        <f t="shared" si="11"/>
        <v>244</v>
      </c>
      <c r="K108" s="24">
        <f t="shared" si="12"/>
        <v>199</v>
      </c>
      <c r="L108" s="24">
        <f t="shared" si="13"/>
        <v>135</v>
      </c>
      <c r="M108" s="24">
        <f t="shared" si="14"/>
        <v>270</v>
      </c>
      <c r="N108" s="24">
        <f t="shared" si="15"/>
        <v>151</v>
      </c>
      <c r="O108" s="25">
        <f t="shared" si="16"/>
        <v>139</v>
      </c>
      <c r="Q108" s="23">
        <v>2038</v>
      </c>
      <c r="R108" s="24">
        <f t="shared" si="17"/>
        <v>86</v>
      </c>
      <c r="S108" s="24">
        <f t="shared" si="18"/>
        <v>86</v>
      </c>
      <c r="T108" s="24">
        <f t="shared" si="19"/>
        <v>75</v>
      </c>
      <c r="U108" s="24">
        <f t="shared" si="20"/>
        <v>75</v>
      </c>
      <c r="V108" s="24">
        <f t="shared" si="21"/>
        <v>86</v>
      </c>
      <c r="W108" s="24">
        <f t="shared" si="22"/>
        <v>86</v>
      </c>
      <c r="X108" s="24">
        <f t="shared" si="23"/>
        <v>258</v>
      </c>
      <c r="Y108" s="24">
        <f t="shared" si="24"/>
        <v>183</v>
      </c>
      <c r="Z108" s="24">
        <f t="shared" si="25"/>
        <v>129</v>
      </c>
      <c r="AA108" s="24">
        <f t="shared" si="26"/>
        <v>54</v>
      </c>
      <c r="AB108" s="24">
        <f t="shared" si="27"/>
        <v>215</v>
      </c>
      <c r="AC108" s="24">
        <f t="shared" si="28"/>
        <v>86</v>
      </c>
      <c r="AD108" s="552">
        <f t="shared" si="29"/>
        <v>64</v>
      </c>
      <c r="AF108" s="23">
        <v>2038</v>
      </c>
      <c r="AG108" s="24">
        <f t="shared" si="30"/>
        <v>53</v>
      </c>
      <c r="AH108" s="24">
        <f t="shared" si="31"/>
        <v>122</v>
      </c>
      <c r="AI108" s="24">
        <f t="shared" si="32"/>
        <v>79</v>
      </c>
      <c r="AJ108" s="24">
        <f t="shared" si="33"/>
        <v>78</v>
      </c>
      <c r="AK108" s="24">
        <f t="shared" si="34"/>
        <v>84</v>
      </c>
      <c r="AL108" s="24">
        <f t="shared" si="35"/>
        <v>84</v>
      </c>
      <c r="AM108" s="24">
        <f t="shared" si="36"/>
        <v>99</v>
      </c>
      <c r="AN108" s="24">
        <f t="shared" si="37"/>
        <v>86</v>
      </c>
      <c r="AO108" s="24">
        <f t="shared" si="38"/>
        <v>90</v>
      </c>
      <c r="AP108" s="24">
        <f t="shared" si="39"/>
        <v>95</v>
      </c>
      <c r="AQ108" s="24">
        <f t="shared" si="40"/>
        <v>82</v>
      </c>
      <c r="AR108" s="24">
        <f t="shared" si="41"/>
        <v>80</v>
      </c>
      <c r="AS108" s="25">
        <f t="shared" si="42"/>
        <v>88</v>
      </c>
    </row>
    <row r="109" spans="2:45">
      <c r="B109" s="23">
        <v>2039</v>
      </c>
      <c r="C109" s="24">
        <f t="shared" si="4"/>
        <v>119</v>
      </c>
      <c r="D109" s="24">
        <f t="shared" si="5"/>
        <v>178</v>
      </c>
      <c r="E109" s="24">
        <f t="shared" si="6"/>
        <v>132</v>
      </c>
      <c r="F109" s="24">
        <f t="shared" si="7"/>
        <v>131</v>
      </c>
      <c r="G109" s="24">
        <f t="shared" si="8"/>
        <v>146</v>
      </c>
      <c r="H109" s="24">
        <f t="shared" si="9"/>
        <v>146</v>
      </c>
      <c r="I109" s="24">
        <f t="shared" si="10"/>
        <v>306</v>
      </c>
      <c r="J109" s="24">
        <f t="shared" si="11"/>
        <v>230</v>
      </c>
      <c r="K109" s="24">
        <f t="shared" si="12"/>
        <v>187</v>
      </c>
      <c r="L109" s="24">
        <f t="shared" si="13"/>
        <v>127</v>
      </c>
      <c r="M109" s="24">
        <f t="shared" si="14"/>
        <v>254</v>
      </c>
      <c r="N109" s="24">
        <f t="shared" si="15"/>
        <v>142</v>
      </c>
      <c r="O109" s="25">
        <f t="shared" si="16"/>
        <v>131</v>
      </c>
      <c r="Q109" s="23">
        <v>2039</v>
      </c>
      <c r="R109" s="24">
        <f t="shared" si="17"/>
        <v>81</v>
      </c>
      <c r="S109" s="24">
        <f t="shared" si="18"/>
        <v>81</v>
      </c>
      <c r="T109" s="24">
        <f t="shared" si="19"/>
        <v>71</v>
      </c>
      <c r="U109" s="24">
        <f t="shared" si="20"/>
        <v>71</v>
      </c>
      <c r="V109" s="24">
        <f t="shared" si="21"/>
        <v>81</v>
      </c>
      <c r="W109" s="24">
        <f t="shared" si="22"/>
        <v>81</v>
      </c>
      <c r="X109" s="24">
        <f t="shared" si="23"/>
        <v>243</v>
      </c>
      <c r="Y109" s="24">
        <f t="shared" si="24"/>
        <v>172</v>
      </c>
      <c r="Z109" s="24">
        <f t="shared" si="25"/>
        <v>121</v>
      </c>
      <c r="AA109" s="24">
        <f t="shared" si="26"/>
        <v>51</v>
      </c>
      <c r="AB109" s="24">
        <f t="shared" si="27"/>
        <v>202</v>
      </c>
      <c r="AC109" s="24">
        <f t="shared" si="28"/>
        <v>81</v>
      </c>
      <c r="AD109" s="552">
        <f t="shared" si="29"/>
        <v>61</v>
      </c>
      <c r="AF109" s="23">
        <v>2039</v>
      </c>
      <c r="AG109" s="24">
        <f t="shared" si="30"/>
        <v>50</v>
      </c>
      <c r="AH109" s="24">
        <f t="shared" si="31"/>
        <v>115</v>
      </c>
      <c r="AI109" s="24">
        <f t="shared" si="32"/>
        <v>74</v>
      </c>
      <c r="AJ109" s="24">
        <f t="shared" si="33"/>
        <v>73</v>
      </c>
      <c r="AK109" s="24">
        <f t="shared" si="34"/>
        <v>79</v>
      </c>
      <c r="AL109" s="24">
        <f t="shared" si="35"/>
        <v>79</v>
      </c>
      <c r="AM109" s="24">
        <f t="shared" si="36"/>
        <v>93</v>
      </c>
      <c r="AN109" s="24">
        <f t="shared" si="37"/>
        <v>81</v>
      </c>
      <c r="AO109" s="24">
        <f t="shared" si="38"/>
        <v>85</v>
      </c>
      <c r="AP109" s="24">
        <f t="shared" si="39"/>
        <v>90</v>
      </c>
      <c r="AQ109" s="24">
        <f t="shared" si="40"/>
        <v>77</v>
      </c>
      <c r="AR109" s="24">
        <f t="shared" si="41"/>
        <v>76</v>
      </c>
      <c r="AS109" s="25">
        <f t="shared" si="42"/>
        <v>83</v>
      </c>
    </row>
    <row r="110" spans="2:45">
      <c r="B110" s="23">
        <v>2040</v>
      </c>
      <c r="C110" s="24">
        <f t="shared" si="4"/>
        <v>111</v>
      </c>
      <c r="D110" s="24">
        <f t="shared" si="5"/>
        <v>167</v>
      </c>
      <c r="E110" s="24">
        <f t="shared" si="6"/>
        <v>124</v>
      </c>
      <c r="F110" s="24">
        <f t="shared" si="7"/>
        <v>122</v>
      </c>
      <c r="G110" s="24">
        <f t="shared" si="8"/>
        <v>136</v>
      </c>
      <c r="H110" s="24">
        <f t="shared" si="9"/>
        <v>137</v>
      </c>
      <c r="I110" s="24">
        <f t="shared" si="10"/>
        <v>286</v>
      </c>
      <c r="J110" s="24">
        <f t="shared" si="11"/>
        <v>215</v>
      </c>
      <c r="K110" s="24">
        <f t="shared" si="12"/>
        <v>176</v>
      </c>
      <c r="L110" s="24">
        <f t="shared" si="13"/>
        <v>119</v>
      </c>
      <c r="M110" s="24">
        <f t="shared" si="14"/>
        <v>238</v>
      </c>
      <c r="N110" s="24">
        <f t="shared" si="15"/>
        <v>134</v>
      </c>
      <c r="O110" s="25">
        <f t="shared" si="16"/>
        <v>123</v>
      </c>
      <c r="Q110" s="23">
        <v>2040</v>
      </c>
      <c r="R110" s="24">
        <f t="shared" si="17"/>
        <v>76</v>
      </c>
      <c r="S110" s="24">
        <f t="shared" si="18"/>
        <v>76</v>
      </c>
      <c r="T110" s="24">
        <f t="shared" si="19"/>
        <v>66</v>
      </c>
      <c r="U110" s="24">
        <f t="shared" si="20"/>
        <v>66</v>
      </c>
      <c r="V110" s="24">
        <f t="shared" si="21"/>
        <v>76</v>
      </c>
      <c r="W110" s="24">
        <f t="shared" si="22"/>
        <v>76</v>
      </c>
      <c r="X110" s="24">
        <f t="shared" si="23"/>
        <v>228</v>
      </c>
      <c r="Y110" s="24">
        <f t="shared" si="24"/>
        <v>161</v>
      </c>
      <c r="Z110" s="24">
        <f t="shared" si="25"/>
        <v>114</v>
      </c>
      <c r="AA110" s="24">
        <f t="shared" si="26"/>
        <v>47</v>
      </c>
      <c r="AB110" s="24">
        <f t="shared" si="27"/>
        <v>190</v>
      </c>
      <c r="AC110" s="24">
        <f t="shared" si="28"/>
        <v>76</v>
      </c>
      <c r="AD110" s="552">
        <f t="shared" si="29"/>
        <v>57</v>
      </c>
      <c r="AF110" s="23">
        <v>2040</v>
      </c>
      <c r="AG110" s="24">
        <f t="shared" si="30"/>
        <v>47</v>
      </c>
      <c r="AH110" s="24">
        <f t="shared" si="31"/>
        <v>108</v>
      </c>
      <c r="AI110" s="24">
        <f t="shared" si="32"/>
        <v>70</v>
      </c>
      <c r="AJ110" s="24">
        <f t="shared" si="33"/>
        <v>68</v>
      </c>
      <c r="AK110" s="24">
        <f t="shared" si="34"/>
        <v>74</v>
      </c>
      <c r="AL110" s="24">
        <f t="shared" si="35"/>
        <v>74</v>
      </c>
      <c r="AM110" s="24">
        <f t="shared" si="36"/>
        <v>88</v>
      </c>
      <c r="AN110" s="24">
        <f t="shared" si="37"/>
        <v>76</v>
      </c>
      <c r="AO110" s="24">
        <f t="shared" si="38"/>
        <v>79</v>
      </c>
      <c r="AP110" s="24">
        <f t="shared" si="39"/>
        <v>84</v>
      </c>
      <c r="AQ110" s="24">
        <f t="shared" si="40"/>
        <v>72</v>
      </c>
      <c r="AR110" s="24">
        <f t="shared" si="41"/>
        <v>71</v>
      </c>
      <c r="AS110" s="25">
        <f t="shared" si="42"/>
        <v>78</v>
      </c>
    </row>
    <row r="111" spans="2:45">
      <c r="B111" s="23">
        <v>2041</v>
      </c>
      <c r="C111" s="24">
        <f t="shared" si="4"/>
        <v>104</v>
      </c>
      <c r="D111" s="24">
        <f t="shared" si="5"/>
        <v>156</v>
      </c>
      <c r="E111" s="24">
        <f t="shared" si="6"/>
        <v>115</v>
      </c>
      <c r="F111" s="24">
        <f t="shared" si="7"/>
        <v>114</v>
      </c>
      <c r="G111" s="24">
        <f t="shared" si="8"/>
        <v>127</v>
      </c>
      <c r="H111" s="24">
        <f t="shared" si="9"/>
        <v>128</v>
      </c>
      <c r="I111" s="24">
        <f t="shared" si="10"/>
        <v>267</v>
      </c>
      <c r="J111" s="24">
        <f t="shared" si="11"/>
        <v>201</v>
      </c>
      <c r="K111" s="24">
        <f t="shared" si="12"/>
        <v>164</v>
      </c>
      <c r="L111" s="24">
        <f t="shared" si="13"/>
        <v>111</v>
      </c>
      <c r="M111" s="24">
        <f t="shared" si="14"/>
        <v>222</v>
      </c>
      <c r="N111" s="24">
        <f t="shared" si="15"/>
        <v>125</v>
      </c>
      <c r="O111" s="25">
        <f t="shared" si="16"/>
        <v>114</v>
      </c>
      <c r="Q111" s="23">
        <v>2041</v>
      </c>
      <c r="R111" s="24">
        <f t="shared" si="17"/>
        <v>71</v>
      </c>
      <c r="S111" s="24">
        <f t="shared" si="18"/>
        <v>71</v>
      </c>
      <c r="T111" s="24">
        <f t="shared" si="19"/>
        <v>62</v>
      </c>
      <c r="U111" s="24">
        <f t="shared" si="20"/>
        <v>62</v>
      </c>
      <c r="V111" s="24">
        <f t="shared" si="21"/>
        <v>71</v>
      </c>
      <c r="W111" s="24">
        <f t="shared" si="22"/>
        <v>71</v>
      </c>
      <c r="X111" s="24">
        <f t="shared" si="23"/>
        <v>212</v>
      </c>
      <c r="Y111" s="24">
        <f t="shared" si="24"/>
        <v>150</v>
      </c>
      <c r="Z111" s="24">
        <f t="shared" si="25"/>
        <v>106</v>
      </c>
      <c r="AA111" s="24">
        <f t="shared" si="26"/>
        <v>44</v>
      </c>
      <c r="AB111" s="24">
        <f t="shared" si="27"/>
        <v>177</v>
      </c>
      <c r="AC111" s="24">
        <f t="shared" si="28"/>
        <v>71</v>
      </c>
      <c r="AD111" s="552">
        <f t="shared" si="29"/>
        <v>53</v>
      </c>
      <c r="AF111" s="23">
        <v>2041</v>
      </c>
      <c r="AG111" s="24">
        <f t="shared" si="30"/>
        <v>44</v>
      </c>
      <c r="AH111" s="24">
        <f t="shared" si="31"/>
        <v>101</v>
      </c>
      <c r="AI111" s="24">
        <f t="shared" si="32"/>
        <v>65</v>
      </c>
      <c r="AJ111" s="24">
        <f t="shared" si="33"/>
        <v>64</v>
      </c>
      <c r="AK111" s="24">
        <f t="shared" si="34"/>
        <v>69</v>
      </c>
      <c r="AL111" s="24">
        <f t="shared" si="35"/>
        <v>69</v>
      </c>
      <c r="AM111" s="24">
        <f t="shared" si="36"/>
        <v>82</v>
      </c>
      <c r="AN111" s="24">
        <f t="shared" si="37"/>
        <v>70</v>
      </c>
      <c r="AO111" s="24">
        <f t="shared" si="38"/>
        <v>74</v>
      </c>
      <c r="AP111" s="24">
        <f t="shared" si="39"/>
        <v>78</v>
      </c>
      <c r="AQ111" s="24">
        <f t="shared" si="40"/>
        <v>67</v>
      </c>
      <c r="AR111" s="24">
        <f t="shared" si="41"/>
        <v>66</v>
      </c>
      <c r="AS111" s="25">
        <f t="shared" si="42"/>
        <v>73</v>
      </c>
    </row>
    <row r="112" spans="2:45">
      <c r="B112" s="23">
        <v>2042</v>
      </c>
      <c r="C112" s="24">
        <f t="shared" si="4"/>
        <v>96</v>
      </c>
      <c r="D112" s="24">
        <f t="shared" si="5"/>
        <v>145</v>
      </c>
      <c r="E112" s="24">
        <f t="shared" si="6"/>
        <v>107</v>
      </c>
      <c r="F112" s="24">
        <f t="shared" si="7"/>
        <v>106</v>
      </c>
      <c r="G112" s="24">
        <f t="shared" si="8"/>
        <v>118</v>
      </c>
      <c r="H112" s="24">
        <f t="shared" si="9"/>
        <v>118</v>
      </c>
      <c r="I112" s="24">
        <f t="shared" si="10"/>
        <v>248</v>
      </c>
      <c r="J112" s="24">
        <f t="shared" si="11"/>
        <v>187</v>
      </c>
      <c r="K112" s="24">
        <f t="shared" si="12"/>
        <v>152</v>
      </c>
      <c r="L112" s="24">
        <f t="shared" si="13"/>
        <v>104</v>
      </c>
      <c r="M112" s="24">
        <f t="shared" si="14"/>
        <v>206</v>
      </c>
      <c r="N112" s="24">
        <f t="shared" si="15"/>
        <v>116</v>
      </c>
      <c r="O112" s="25">
        <f t="shared" si="16"/>
        <v>106</v>
      </c>
      <c r="Q112" s="23">
        <v>2042</v>
      </c>
      <c r="R112" s="24">
        <f t="shared" si="17"/>
        <v>66</v>
      </c>
      <c r="S112" s="24">
        <f t="shared" si="18"/>
        <v>66</v>
      </c>
      <c r="T112" s="24">
        <f t="shared" si="19"/>
        <v>58</v>
      </c>
      <c r="U112" s="24">
        <f t="shared" si="20"/>
        <v>58</v>
      </c>
      <c r="V112" s="24">
        <f t="shared" si="21"/>
        <v>66</v>
      </c>
      <c r="W112" s="24">
        <f t="shared" si="22"/>
        <v>66</v>
      </c>
      <c r="X112" s="24">
        <f t="shared" si="23"/>
        <v>197</v>
      </c>
      <c r="Y112" s="24">
        <f t="shared" si="24"/>
        <v>140</v>
      </c>
      <c r="Z112" s="24">
        <f t="shared" si="25"/>
        <v>99</v>
      </c>
      <c r="AA112" s="24">
        <f t="shared" si="26"/>
        <v>41</v>
      </c>
      <c r="AB112" s="24">
        <f t="shared" si="27"/>
        <v>164</v>
      </c>
      <c r="AC112" s="24">
        <f t="shared" si="28"/>
        <v>66</v>
      </c>
      <c r="AD112" s="552">
        <f t="shared" si="29"/>
        <v>49</v>
      </c>
      <c r="AF112" s="23">
        <v>2042</v>
      </c>
      <c r="AG112" s="24">
        <f t="shared" si="30"/>
        <v>40</v>
      </c>
      <c r="AH112" s="24">
        <f t="shared" si="31"/>
        <v>94</v>
      </c>
      <c r="AI112" s="24">
        <f t="shared" si="32"/>
        <v>60</v>
      </c>
      <c r="AJ112" s="24">
        <f t="shared" si="33"/>
        <v>59</v>
      </c>
      <c r="AK112" s="24">
        <f t="shared" si="34"/>
        <v>64</v>
      </c>
      <c r="AL112" s="24">
        <f t="shared" si="35"/>
        <v>64</v>
      </c>
      <c r="AM112" s="24">
        <f t="shared" si="36"/>
        <v>76</v>
      </c>
      <c r="AN112" s="24">
        <f t="shared" si="37"/>
        <v>66</v>
      </c>
      <c r="AO112" s="24">
        <f t="shared" si="38"/>
        <v>69</v>
      </c>
      <c r="AP112" s="24">
        <f t="shared" si="39"/>
        <v>73</v>
      </c>
      <c r="AQ112" s="24">
        <f t="shared" si="40"/>
        <v>62</v>
      </c>
      <c r="AR112" s="24">
        <f t="shared" si="41"/>
        <v>62</v>
      </c>
      <c r="AS112" s="25">
        <f t="shared" si="42"/>
        <v>68</v>
      </c>
    </row>
    <row r="113" spans="2:45">
      <c r="B113" s="23">
        <v>2043</v>
      </c>
      <c r="C113" s="24">
        <f t="shared" si="4"/>
        <v>89</v>
      </c>
      <c r="D113" s="24">
        <f t="shared" si="5"/>
        <v>134</v>
      </c>
      <c r="E113" s="24">
        <f t="shared" si="6"/>
        <v>99</v>
      </c>
      <c r="F113" s="24">
        <f t="shared" si="7"/>
        <v>98</v>
      </c>
      <c r="G113" s="24">
        <f t="shared" si="8"/>
        <v>109</v>
      </c>
      <c r="H113" s="24">
        <f t="shared" si="9"/>
        <v>109</v>
      </c>
      <c r="I113" s="24">
        <f t="shared" si="10"/>
        <v>229</v>
      </c>
      <c r="J113" s="24">
        <f t="shared" si="11"/>
        <v>172</v>
      </c>
      <c r="K113" s="24">
        <f t="shared" si="12"/>
        <v>141</v>
      </c>
      <c r="L113" s="24">
        <f t="shared" si="13"/>
        <v>96</v>
      </c>
      <c r="M113" s="24">
        <f t="shared" si="14"/>
        <v>190</v>
      </c>
      <c r="N113" s="24">
        <f t="shared" si="15"/>
        <v>107</v>
      </c>
      <c r="O113" s="25">
        <f t="shared" si="16"/>
        <v>98</v>
      </c>
      <c r="Q113" s="23">
        <v>2043</v>
      </c>
      <c r="R113" s="24">
        <f t="shared" si="17"/>
        <v>61</v>
      </c>
      <c r="S113" s="24">
        <f t="shared" si="18"/>
        <v>61</v>
      </c>
      <c r="T113" s="24">
        <f t="shared" si="19"/>
        <v>53</v>
      </c>
      <c r="U113" s="24">
        <f t="shared" si="20"/>
        <v>53</v>
      </c>
      <c r="V113" s="24">
        <f t="shared" si="21"/>
        <v>61</v>
      </c>
      <c r="W113" s="24">
        <f t="shared" si="22"/>
        <v>61</v>
      </c>
      <c r="X113" s="24">
        <f t="shared" si="23"/>
        <v>182</v>
      </c>
      <c r="Y113" s="24">
        <f t="shared" si="24"/>
        <v>129</v>
      </c>
      <c r="Z113" s="24">
        <f t="shared" si="25"/>
        <v>91</v>
      </c>
      <c r="AA113" s="24">
        <f t="shared" si="26"/>
        <v>38</v>
      </c>
      <c r="AB113" s="24">
        <f t="shared" si="27"/>
        <v>152</v>
      </c>
      <c r="AC113" s="24">
        <f t="shared" si="28"/>
        <v>61</v>
      </c>
      <c r="AD113" s="552">
        <f t="shared" si="29"/>
        <v>46</v>
      </c>
      <c r="AF113" s="23">
        <v>2043</v>
      </c>
      <c r="AG113" s="24">
        <f t="shared" si="30"/>
        <v>37</v>
      </c>
      <c r="AH113" s="24">
        <f t="shared" si="31"/>
        <v>86</v>
      </c>
      <c r="AI113" s="24">
        <f t="shared" si="32"/>
        <v>56</v>
      </c>
      <c r="AJ113" s="24">
        <f t="shared" si="33"/>
        <v>55</v>
      </c>
      <c r="AK113" s="24">
        <f t="shared" si="34"/>
        <v>59</v>
      </c>
      <c r="AL113" s="24">
        <f t="shared" si="35"/>
        <v>60</v>
      </c>
      <c r="AM113" s="24">
        <f t="shared" si="36"/>
        <v>70</v>
      </c>
      <c r="AN113" s="24">
        <f t="shared" si="37"/>
        <v>60</v>
      </c>
      <c r="AO113" s="24">
        <f t="shared" si="38"/>
        <v>64</v>
      </c>
      <c r="AP113" s="24">
        <f t="shared" si="39"/>
        <v>67</v>
      </c>
      <c r="AQ113" s="24">
        <f t="shared" si="40"/>
        <v>58</v>
      </c>
      <c r="AR113" s="24">
        <f t="shared" si="41"/>
        <v>57</v>
      </c>
      <c r="AS113" s="25">
        <f t="shared" si="42"/>
        <v>62</v>
      </c>
    </row>
    <row r="114" spans="2:45">
      <c r="B114" s="23">
        <v>2044</v>
      </c>
      <c r="C114" s="24">
        <f t="shared" si="4"/>
        <v>82</v>
      </c>
      <c r="D114" s="24">
        <f t="shared" si="5"/>
        <v>123</v>
      </c>
      <c r="E114" s="24">
        <f t="shared" si="6"/>
        <v>91</v>
      </c>
      <c r="F114" s="24">
        <f t="shared" si="7"/>
        <v>90</v>
      </c>
      <c r="G114" s="24">
        <f t="shared" si="8"/>
        <v>100</v>
      </c>
      <c r="H114" s="24">
        <f t="shared" si="9"/>
        <v>100</v>
      </c>
      <c r="I114" s="24">
        <f t="shared" si="10"/>
        <v>210</v>
      </c>
      <c r="J114" s="24">
        <f t="shared" si="11"/>
        <v>158</v>
      </c>
      <c r="K114" s="24">
        <f t="shared" si="12"/>
        <v>129</v>
      </c>
      <c r="L114" s="24">
        <f t="shared" si="13"/>
        <v>88</v>
      </c>
      <c r="M114" s="24">
        <f t="shared" si="14"/>
        <v>175</v>
      </c>
      <c r="N114" s="24">
        <f t="shared" si="15"/>
        <v>98</v>
      </c>
      <c r="O114" s="25">
        <f t="shared" si="16"/>
        <v>90</v>
      </c>
      <c r="Q114" s="23">
        <v>2044</v>
      </c>
      <c r="R114" s="24">
        <f t="shared" si="17"/>
        <v>56</v>
      </c>
      <c r="S114" s="24">
        <f t="shared" si="18"/>
        <v>56</v>
      </c>
      <c r="T114" s="24">
        <f t="shared" si="19"/>
        <v>49</v>
      </c>
      <c r="U114" s="24">
        <f t="shared" si="20"/>
        <v>49</v>
      </c>
      <c r="V114" s="24">
        <f t="shared" si="21"/>
        <v>56</v>
      </c>
      <c r="W114" s="24">
        <f t="shared" si="22"/>
        <v>56</v>
      </c>
      <c r="X114" s="24">
        <f t="shared" si="23"/>
        <v>167</v>
      </c>
      <c r="Y114" s="24">
        <f t="shared" si="24"/>
        <v>118</v>
      </c>
      <c r="Z114" s="24">
        <f t="shared" si="25"/>
        <v>84</v>
      </c>
      <c r="AA114" s="24">
        <f t="shared" si="26"/>
        <v>35</v>
      </c>
      <c r="AB114" s="24">
        <f t="shared" si="27"/>
        <v>139</v>
      </c>
      <c r="AC114" s="24">
        <f t="shared" si="28"/>
        <v>56</v>
      </c>
      <c r="AD114" s="552">
        <f t="shared" si="29"/>
        <v>42</v>
      </c>
      <c r="AF114" s="23">
        <v>2044</v>
      </c>
      <c r="AG114" s="24">
        <f t="shared" si="30"/>
        <v>34</v>
      </c>
      <c r="AH114" s="24">
        <f t="shared" si="31"/>
        <v>79</v>
      </c>
      <c r="AI114" s="24">
        <f t="shared" si="32"/>
        <v>51</v>
      </c>
      <c r="AJ114" s="24">
        <f t="shared" si="33"/>
        <v>50</v>
      </c>
      <c r="AK114" s="24">
        <f t="shared" si="34"/>
        <v>54</v>
      </c>
      <c r="AL114" s="24">
        <f t="shared" si="35"/>
        <v>54</v>
      </c>
      <c r="AM114" s="24">
        <f t="shared" si="36"/>
        <v>64</v>
      </c>
      <c r="AN114" s="24">
        <f t="shared" si="37"/>
        <v>55</v>
      </c>
      <c r="AO114" s="24">
        <f t="shared" si="38"/>
        <v>58</v>
      </c>
      <c r="AP114" s="24">
        <f t="shared" si="39"/>
        <v>62</v>
      </c>
      <c r="AQ114" s="24">
        <f t="shared" si="40"/>
        <v>53</v>
      </c>
      <c r="AR114" s="24">
        <f t="shared" si="41"/>
        <v>52</v>
      </c>
      <c r="AS114" s="25">
        <f t="shared" si="42"/>
        <v>57</v>
      </c>
    </row>
    <row r="115" spans="2:45">
      <c r="B115" s="23">
        <v>2045</v>
      </c>
      <c r="C115" s="24">
        <f t="shared" si="4"/>
        <v>74</v>
      </c>
      <c r="D115" s="24">
        <f t="shared" si="5"/>
        <v>112</v>
      </c>
      <c r="E115" s="24">
        <f t="shared" si="6"/>
        <v>82</v>
      </c>
      <c r="F115" s="24">
        <f t="shared" si="7"/>
        <v>82</v>
      </c>
      <c r="G115" s="24">
        <f t="shared" si="8"/>
        <v>91</v>
      </c>
      <c r="H115" s="24">
        <f t="shared" si="9"/>
        <v>91</v>
      </c>
      <c r="I115" s="24">
        <f t="shared" si="10"/>
        <v>191</v>
      </c>
      <c r="J115" s="24">
        <f t="shared" si="11"/>
        <v>144</v>
      </c>
      <c r="K115" s="24">
        <f t="shared" si="12"/>
        <v>117</v>
      </c>
      <c r="L115" s="24">
        <f t="shared" si="13"/>
        <v>80</v>
      </c>
      <c r="M115" s="24">
        <f t="shared" si="14"/>
        <v>159</v>
      </c>
      <c r="N115" s="24">
        <f t="shared" si="15"/>
        <v>89</v>
      </c>
      <c r="O115" s="25">
        <f t="shared" si="16"/>
        <v>82</v>
      </c>
      <c r="Q115" s="23">
        <v>2045</v>
      </c>
      <c r="R115" s="24">
        <f t="shared" si="17"/>
        <v>51</v>
      </c>
      <c r="S115" s="24">
        <f t="shared" si="18"/>
        <v>51</v>
      </c>
      <c r="T115" s="24">
        <f t="shared" si="19"/>
        <v>44</v>
      </c>
      <c r="U115" s="24">
        <f t="shared" si="20"/>
        <v>44</v>
      </c>
      <c r="V115" s="24">
        <f t="shared" si="21"/>
        <v>51</v>
      </c>
      <c r="W115" s="24">
        <f t="shared" si="22"/>
        <v>51</v>
      </c>
      <c r="X115" s="24">
        <f t="shared" si="23"/>
        <v>152</v>
      </c>
      <c r="Y115" s="24">
        <f t="shared" si="24"/>
        <v>108</v>
      </c>
      <c r="Z115" s="24">
        <f t="shared" si="25"/>
        <v>76</v>
      </c>
      <c r="AA115" s="24">
        <f t="shared" si="26"/>
        <v>32</v>
      </c>
      <c r="AB115" s="24">
        <f t="shared" si="27"/>
        <v>126</v>
      </c>
      <c r="AC115" s="24">
        <f t="shared" si="28"/>
        <v>51</v>
      </c>
      <c r="AD115" s="552">
        <f t="shared" si="29"/>
        <v>38</v>
      </c>
      <c r="AF115" s="23">
        <v>2045</v>
      </c>
      <c r="AG115" s="24">
        <f t="shared" si="30"/>
        <v>31</v>
      </c>
      <c r="AH115" s="24">
        <f t="shared" si="31"/>
        <v>72</v>
      </c>
      <c r="AI115" s="24">
        <f t="shared" si="32"/>
        <v>46</v>
      </c>
      <c r="AJ115" s="24">
        <f t="shared" si="33"/>
        <v>46</v>
      </c>
      <c r="AK115" s="24">
        <f t="shared" si="34"/>
        <v>50</v>
      </c>
      <c r="AL115" s="24">
        <f t="shared" si="35"/>
        <v>50</v>
      </c>
      <c r="AM115" s="24">
        <f t="shared" si="36"/>
        <v>58</v>
      </c>
      <c r="AN115" s="24">
        <f t="shared" si="37"/>
        <v>50</v>
      </c>
      <c r="AO115" s="24">
        <f t="shared" si="38"/>
        <v>53</v>
      </c>
      <c r="AP115" s="24">
        <f t="shared" si="39"/>
        <v>56</v>
      </c>
      <c r="AQ115" s="24">
        <f t="shared" si="40"/>
        <v>48</v>
      </c>
      <c r="AR115" s="24">
        <f t="shared" si="41"/>
        <v>47</v>
      </c>
      <c r="AS115" s="25">
        <f t="shared" si="42"/>
        <v>52</v>
      </c>
    </row>
    <row r="116" spans="2:45">
      <c r="B116" s="23">
        <v>2046</v>
      </c>
      <c r="C116" s="24">
        <f t="shared" si="4"/>
        <v>67</v>
      </c>
      <c r="D116" s="24">
        <f t="shared" si="5"/>
        <v>100</v>
      </c>
      <c r="E116" s="24">
        <f t="shared" si="6"/>
        <v>74</v>
      </c>
      <c r="F116" s="24">
        <f t="shared" si="7"/>
        <v>74</v>
      </c>
      <c r="G116" s="24">
        <f t="shared" si="8"/>
        <v>82</v>
      </c>
      <c r="H116" s="24">
        <f t="shared" si="9"/>
        <v>82</v>
      </c>
      <c r="I116" s="24">
        <f t="shared" si="10"/>
        <v>172</v>
      </c>
      <c r="J116" s="24">
        <f t="shared" si="11"/>
        <v>129</v>
      </c>
      <c r="K116" s="24">
        <f t="shared" si="12"/>
        <v>105</v>
      </c>
      <c r="L116" s="24">
        <f t="shared" si="13"/>
        <v>72</v>
      </c>
      <c r="M116" s="24">
        <f t="shared" si="14"/>
        <v>143</v>
      </c>
      <c r="N116" s="24">
        <f t="shared" si="15"/>
        <v>80</v>
      </c>
      <c r="O116" s="25">
        <f t="shared" si="16"/>
        <v>74</v>
      </c>
      <c r="Q116" s="23">
        <v>2046</v>
      </c>
      <c r="R116" s="24">
        <f t="shared" si="17"/>
        <v>46</v>
      </c>
      <c r="S116" s="24">
        <f t="shared" si="18"/>
        <v>46</v>
      </c>
      <c r="T116" s="24">
        <f t="shared" si="19"/>
        <v>40</v>
      </c>
      <c r="U116" s="24">
        <f t="shared" si="20"/>
        <v>40</v>
      </c>
      <c r="V116" s="24">
        <f t="shared" si="21"/>
        <v>46</v>
      </c>
      <c r="W116" s="24">
        <f t="shared" si="22"/>
        <v>46</v>
      </c>
      <c r="X116" s="24">
        <f t="shared" si="23"/>
        <v>137</v>
      </c>
      <c r="Y116" s="24">
        <f t="shared" si="24"/>
        <v>97</v>
      </c>
      <c r="Z116" s="24">
        <f t="shared" si="25"/>
        <v>68</v>
      </c>
      <c r="AA116" s="24">
        <f t="shared" si="26"/>
        <v>28</v>
      </c>
      <c r="AB116" s="24">
        <f t="shared" si="27"/>
        <v>114</v>
      </c>
      <c r="AC116" s="24">
        <f t="shared" si="28"/>
        <v>46</v>
      </c>
      <c r="AD116" s="552">
        <f t="shared" si="29"/>
        <v>34</v>
      </c>
      <c r="AF116" s="23">
        <v>2046</v>
      </c>
      <c r="AG116" s="24">
        <f t="shared" si="30"/>
        <v>28</v>
      </c>
      <c r="AH116" s="24">
        <f t="shared" si="31"/>
        <v>65</v>
      </c>
      <c r="AI116" s="24">
        <f t="shared" si="32"/>
        <v>42</v>
      </c>
      <c r="AJ116" s="24">
        <f t="shared" si="33"/>
        <v>41</v>
      </c>
      <c r="AK116" s="24">
        <f t="shared" si="34"/>
        <v>44</v>
      </c>
      <c r="AL116" s="24">
        <f t="shared" si="35"/>
        <v>45</v>
      </c>
      <c r="AM116" s="24">
        <f t="shared" si="36"/>
        <v>52</v>
      </c>
      <c r="AN116" s="24">
        <f t="shared" si="37"/>
        <v>45</v>
      </c>
      <c r="AO116" s="24">
        <f t="shared" si="38"/>
        <v>48</v>
      </c>
      <c r="AP116" s="24">
        <f t="shared" si="39"/>
        <v>50</v>
      </c>
      <c r="AQ116" s="24">
        <f t="shared" si="40"/>
        <v>43</v>
      </c>
      <c r="AR116" s="24">
        <f t="shared" si="41"/>
        <v>43</v>
      </c>
      <c r="AS116" s="25">
        <f t="shared" si="42"/>
        <v>47</v>
      </c>
    </row>
    <row r="117" spans="2:45">
      <c r="B117" s="23">
        <v>2047</v>
      </c>
      <c r="C117" s="24">
        <f t="shared" si="4"/>
        <v>59</v>
      </c>
      <c r="D117" s="24">
        <f t="shared" si="5"/>
        <v>89</v>
      </c>
      <c r="E117" s="24">
        <f t="shared" si="6"/>
        <v>66</v>
      </c>
      <c r="F117" s="24">
        <f t="shared" si="7"/>
        <v>65</v>
      </c>
      <c r="G117" s="24">
        <f t="shared" si="8"/>
        <v>73</v>
      </c>
      <c r="H117" s="24">
        <f t="shared" si="9"/>
        <v>73</v>
      </c>
      <c r="I117" s="24">
        <f t="shared" si="10"/>
        <v>153</v>
      </c>
      <c r="J117" s="24">
        <f t="shared" si="11"/>
        <v>115</v>
      </c>
      <c r="K117" s="24">
        <f t="shared" si="12"/>
        <v>94</v>
      </c>
      <c r="L117" s="24">
        <f t="shared" si="13"/>
        <v>64</v>
      </c>
      <c r="M117" s="24">
        <f t="shared" si="14"/>
        <v>127</v>
      </c>
      <c r="N117" s="24">
        <f t="shared" si="15"/>
        <v>71</v>
      </c>
      <c r="O117" s="25">
        <f t="shared" si="16"/>
        <v>65</v>
      </c>
      <c r="Q117" s="23">
        <v>2047</v>
      </c>
      <c r="R117" s="24">
        <f t="shared" si="17"/>
        <v>40</v>
      </c>
      <c r="S117" s="24">
        <f t="shared" si="18"/>
        <v>40</v>
      </c>
      <c r="T117" s="24">
        <f t="shared" si="19"/>
        <v>35</v>
      </c>
      <c r="U117" s="24">
        <f t="shared" si="20"/>
        <v>35</v>
      </c>
      <c r="V117" s="24">
        <f t="shared" si="21"/>
        <v>40</v>
      </c>
      <c r="W117" s="24">
        <f t="shared" si="22"/>
        <v>40</v>
      </c>
      <c r="X117" s="24">
        <f t="shared" si="23"/>
        <v>121</v>
      </c>
      <c r="Y117" s="24">
        <f t="shared" si="24"/>
        <v>86</v>
      </c>
      <c r="Z117" s="24">
        <f t="shared" si="25"/>
        <v>61</v>
      </c>
      <c r="AA117" s="24">
        <f t="shared" si="26"/>
        <v>25</v>
      </c>
      <c r="AB117" s="24">
        <f t="shared" si="27"/>
        <v>101</v>
      </c>
      <c r="AC117" s="24">
        <f t="shared" si="28"/>
        <v>40</v>
      </c>
      <c r="AD117" s="552">
        <f t="shared" si="29"/>
        <v>30</v>
      </c>
      <c r="AF117" s="23">
        <v>2047</v>
      </c>
      <c r="AG117" s="24">
        <f t="shared" si="30"/>
        <v>25</v>
      </c>
      <c r="AH117" s="24">
        <f t="shared" si="31"/>
        <v>58</v>
      </c>
      <c r="AI117" s="24">
        <f t="shared" si="32"/>
        <v>37</v>
      </c>
      <c r="AJ117" s="24">
        <f t="shared" si="33"/>
        <v>36</v>
      </c>
      <c r="AK117" s="24">
        <f t="shared" si="34"/>
        <v>40</v>
      </c>
      <c r="AL117" s="24">
        <f t="shared" si="35"/>
        <v>40</v>
      </c>
      <c r="AM117" s="24">
        <f t="shared" si="36"/>
        <v>47</v>
      </c>
      <c r="AN117" s="24">
        <f t="shared" si="37"/>
        <v>40</v>
      </c>
      <c r="AO117" s="24">
        <f t="shared" si="38"/>
        <v>42</v>
      </c>
      <c r="AP117" s="24">
        <f t="shared" si="39"/>
        <v>45</v>
      </c>
      <c r="AQ117" s="24">
        <f t="shared" si="40"/>
        <v>38</v>
      </c>
      <c r="AR117" s="24">
        <f t="shared" si="41"/>
        <v>38</v>
      </c>
      <c r="AS117" s="25">
        <f t="shared" si="42"/>
        <v>42</v>
      </c>
    </row>
    <row r="118" spans="2:45">
      <c r="B118" s="23">
        <v>2048</v>
      </c>
      <c r="C118" s="24">
        <f t="shared" si="4"/>
        <v>52</v>
      </c>
      <c r="D118" s="24">
        <f t="shared" si="5"/>
        <v>78</v>
      </c>
      <c r="E118" s="24">
        <f t="shared" si="6"/>
        <v>58</v>
      </c>
      <c r="F118" s="24">
        <f t="shared" si="7"/>
        <v>57</v>
      </c>
      <c r="G118" s="24">
        <f t="shared" si="8"/>
        <v>64</v>
      </c>
      <c r="H118" s="24">
        <f t="shared" si="9"/>
        <v>64</v>
      </c>
      <c r="I118" s="24">
        <f t="shared" si="10"/>
        <v>134</v>
      </c>
      <c r="J118" s="24">
        <f t="shared" si="11"/>
        <v>100</v>
      </c>
      <c r="K118" s="24">
        <f t="shared" si="12"/>
        <v>82</v>
      </c>
      <c r="L118" s="24">
        <f t="shared" si="13"/>
        <v>56</v>
      </c>
      <c r="M118" s="24">
        <f t="shared" si="14"/>
        <v>111</v>
      </c>
      <c r="N118" s="24">
        <f t="shared" si="15"/>
        <v>62</v>
      </c>
      <c r="O118" s="25">
        <f t="shared" si="16"/>
        <v>57</v>
      </c>
      <c r="Q118" s="23">
        <v>2048</v>
      </c>
      <c r="R118" s="24">
        <f t="shared" si="17"/>
        <v>35</v>
      </c>
      <c r="S118" s="24">
        <f t="shared" si="18"/>
        <v>35</v>
      </c>
      <c r="T118" s="24">
        <f t="shared" si="19"/>
        <v>31</v>
      </c>
      <c r="U118" s="24">
        <f t="shared" si="20"/>
        <v>31</v>
      </c>
      <c r="V118" s="24">
        <f t="shared" si="21"/>
        <v>35</v>
      </c>
      <c r="W118" s="24">
        <f t="shared" si="22"/>
        <v>35</v>
      </c>
      <c r="X118" s="24">
        <f t="shared" si="23"/>
        <v>106</v>
      </c>
      <c r="Y118" s="24">
        <f t="shared" si="24"/>
        <v>75</v>
      </c>
      <c r="Z118" s="24">
        <f t="shared" si="25"/>
        <v>53</v>
      </c>
      <c r="AA118" s="24">
        <f t="shared" si="26"/>
        <v>22</v>
      </c>
      <c r="AB118" s="24">
        <f t="shared" si="27"/>
        <v>88</v>
      </c>
      <c r="AC118" s="24">
        <f t="shared" si="28"/>
        <v>35</v>
      </c>
      <c r="AD118" s="552">
        <f t="shared" si="29"/>
        <v>27</v>
      </c>
      <c r="AF118" s="23">
        <v>2048</v>
      </c>
      <c r="AG118" s="24">
        <f t="shared" si="30"/>
        <v>22</v>
      </c>
      <c r="AH118" s="24">
        <f t="shared" si="31"/>
        <v>50</v>
      </c>
      <c r="AI118" s="24">
        <f t="shared" si="32"/>
        <v>32</v>
      </c>
      <c r="AJ118" s="24">
        <f t="shared" si="33"/>
        <v>32</v>
      </c>
      <c r="AK118" s="24">
        <f t="shared" si="34"/>
        <v>35</v>
      </c>
      <c r="AL118" s="24">
        <f t="shared" si="35"/>
        <v>35</v>
      </c>
      <c r="AM118" s="24">
        <f t="shared" si="36"/>
        <v>41</v>
      </c>
      <c r="AN118" s="24">
        <f t="shared" si="37"/>
        <v>35</v>
      </c>
      <c r="AO118" s="24">
        <f t="shared" si="38"/>
        <v>37</v>
      </c>
      <c r="AP118" s="24">
        <f t="shared" si="39"/>
        <v>39</v>
      </c>
      <c r="AQ118" s="24">
        <f t="shared" si="40"/>
        <v>34</v>
      </c>
      <c r="AR118" s="24">
        <f t="shared" si="41"/>
        <v>33</v>
      </c>
      <c r="AS118" s="25">
        <f t="shared" si="42"/>
        <v>36</v>
      </c>
    </row>
    <row r="119" spans="2:45">
      <c r="B119" s="23">
        <v>2049</v>
      </c>
      <c r="C119" s="24">
        <f t="shared" si="4"/>
        <v>44</v>
      </c>
      <c r="D119" s="24">
        <f t="shared" si="5"/>
        <v>67</v>
      </c>
      <c r="E119" s="24">
        <f t="shared" si="6"/>
        <v>49</v>
      </c>
      <c r="F119" s="24">
        <f t="shared" si="7"/>
        <v>49</v>
      </c>
      <c r="G119" s="24">
        <f t="shared" si="8"/>
        <v>55</v>
      </c>
      <c r="H119" s="24">
        <f t="shared" si="9"/>
        <v>55</v>
      </c>
      <c r="I119" s="24">
        <f t="shared" si="10"/>
        <v>115</v>
      </c>
      <c r="J119" s="24">
        <f t="shared" si="11"/>
        <v>86</v>
      </c>
      <c r="K119" s="24">
        <f t="shared" si="12"/>
        <v>70</v>
      </c>
      <c r="L119" s="24">
        <f t="shared" si="13"/>
        <v>48</v>
      </c>
      <c r="M119" s="24">
        <f t="shared" si="14"/>
        <v>95</v>
      </c>
      <c r="N119" s="24">
        <f t="shared" si="15"/>
        <v>53</v>
      </c>
      <c r="O119" s="25">
        <f t="shared" si="16"/>
        <v>49</v>
      </c>
      <c r="Q119" s="23">
        <v>2049</v>
      </c>
      <c r="R119" s="24">
        <f t="shared" si="17"/>
        <v>30</v>
      </c>
      <c r="S119" s="24">
        <f t="shared" si="18"/>
        <v>30</v>
      </c>
      <c r="T119" s="24">
        <f t="shared" si="19"/>
        <v>27</v>
      </c>
      <c r="U119" s="24">
        <f t="shared" si="20"/>
        <v>27</v>
      </c>
      <c r="V119" s="24">
        <f t="shared" si="21"/>
        <v>30</v>
      </c>
      <c r="W119" s="24">
        <f t="shared" si="22"/>
        <v>30</v>
      </c>
      <c r="X119" s="24">
        <f t="shared" si="23"/>
        <v>91</v>
      </c>
      <c r="Y119" s="24">
        <f t="shared" si="24"/>
        <v>64</v>
      </c>
      <c r="Z119" s="24">
        <f t="shared" si="25"/>
        <v>46</v>
      </c>
      <c r="AA119" s="24">
        <f t="shared" si="26"/>
        <v>19</v>
      </c>
      <c r="AB119" s="24">
        <f t="shared" si="27"/>
        <v>76</v>
      </c>
      <c r="AC119" s="24">
        <f t="shared" si="28"/>
        <v>30</v>
      </c>
      <c r="AD119" s="552">
        <f t="shared" si="29"/>
        <v>23</v>
      </c>
      <c r="AF119" s="23">
        <v>2049</v>
      </c>
      <c r="AG119" s="24">
        <f t="shared" si="30"/>
        <v>19</v>
      </c>
      <c r="AH119" s="24">
        <f t="shared" si="31"/>
        <v>43</v>
      </c>
      <c r="AI119" s="24">
        <f t="shared" si="32"/>
        <v>28</v>
      </c>
      <c r="AJ119" s="24">
        <f t="shared" si="33"/>
        <v>27</v>
      </c>
      <c r="AK119" s="24">
        <f t="shared" si="34"/>
        <v>30</v>
      </c>
      <c r="AL119" s="24">
        <f t="shared" si="35"/>
        <v>30</v>
      </c>
      <c r="AM119" s="24">
        <f t="shared" si="36"/>
        <v>35</v>
      </c>
      <c r="AN119" s="24">
        <f t="shared" si="37"/>
        <v>30</v>
      </c>
      <c r="AO119" s="24">
        <f t="shared" si="38"/>
        <v>32</v>
      </c>
      <c r="AP119" s="24">
        <f t="shared" si="39"/>
        <v>34</v>
      </c>
      <c r="AQ119" s="24">
        <f t="shared" si="40"/>
        <v>29</v>
      </c>
      <c r="AR119" s="24">
        <f t="shared" si="41"/>
        <v>28</v>
      </c>
      <c r="AS119" s="25">
        <f t="shared" si="42"/>
        <v>31</v>
      </c>
    </row>
    <row r="120" spans="2:45">
      <c r="B120" s="26">
        <v>2050</v>
      </c>
      <c r="C120" s="27">
        <f t="shared" si="4"/>
        <v>56</v>
      </c>
      <c r="D120" s="27">
        <f t="shared" si="5"/>
        <v>41</v>
      </c>
      <c r="E120" s="27">
        <f t="shared" si="6"/>
        <v>41</v>
      </c>
      <c r="F120" s="27">
        <f t="shared" si="7"/>
        <v>46</v>
      </c>
      <c r="G120" s="27">
        <f t="shared" si="8"/>
        <v>46</v>
      </c>
      <c r="H120" s="27">
        <f t="shared" si="9"/>
        <v>96</v>
      </c>
      <c r="I120" s="27">
        <f t="shared" si="10"/>
        <v>96</v>
      </c>
      <c r="J120" s="27">
        <f t="shared" si="11"/>
        <v>72</v>
      </c>
      <c r="K120" s="27">
        <f t="shared" si="12"/>
        <v>59</v>
      </c>
      <c r="L120" s="27">
        <f t="shared" si="13"/>
        <v>40</v>
      </c>
      <c r="M120" s="27">
        <f t="shared" si="14"/>
        <v>79</v>
      </c>
      <c r="N120" s="27">
        <f t="shared" si="15"/>
        <v>44</v>
      </c>
      <c r="O120" s="28">
        <f t="shared" si="16"/>
        <v>41</v>
      </c>
      <c r="Q120" s="26">
        <v>2050</v>
      </c>
      <c r="R120" s="27">
        <f t="shared" si="17"/>
        <v>25</v>
      </c>
      <c r="S120" s="27">
        <f t="shared" si="18"/>
        <v>22</v>
      </c>
      <c r="T120" s="27">
        <f t="shared" si="19"/>
        <v>22</v>
      </c>
      <c r="U120" s="27">
        <f t="shared" si="20"/>
        <v>25</v>
      </c>
      <c r="V120" s="27">
        <f t="shared" si="21"/>
        <v>25</v>
      </c>
      <c r="W120" s="27">
        <f t="shared" si="22"/>
        <v>76</v>
      </c>
      <c r="X120" s="27">
        <f t="shared" si="23"/>
        <v>76</v>
      </c>
      <c r="Y120" s="27">
        <f t="shared" si="24"/>
        <v>54</v>
      </c>
      <c r="Z120" s="27">
        <f t="shared" si="25"/>
        <v>38</v>
      </c>
      <c r="AA120" s="27">
        <f t="shared" si="26"/>
        <v>16</v>
      </c>
      <c r="AB120" s="27">
        <f t="shared" si="27"/>
        <v>63</v>
      </c>
      <c r="AC120" s="27">
        <f t="shared" si="28"/>
        <v>25</v>
      </c>
      <c r="AD120" s="553">
        <f t="shared" si="29"/>
        <v>19</v>
      </c>
      <c r="AF120" s="26">
        <v>2050</v>
      </c>
      <c r="AG120" s="27">
        <f t="shared" si="30"/>
        <v>36</v>
      </c>
      <c r="AH120" s="27">
        <f t="shared" si="31"/>
        <v>23</v>
      </c>
      <c r="AI120" s="27">
        <f t="shared" si="32"/>
        <v>23</v>
      </c>
      <c r="AJ120" s="27">
        <f t="shared" si="33"/>
        <v>25</v>
      </c>
      <c r="AK120" s="27">
        <f t="shared" si="34"/>
        <v>25</v>
      </c>
      <c r="AL120" s="27">
        <f t="shared" si="35"/>
        <v>29</v>
      </c>
      <c r="AM120" s="27">
        <f t="shared" si="36"/>
        <v>29</v>
      </c>
      <c r="AN120" s="27">
        <f t="shared" si="37"/>
        <v>25</v>
      </c>
      <c r="AO120" s="27">
        <f t="shared" si="38"/>
        <v>26</v>
      </c>
      <c r="AP120" s="27">
        <f t="shared" si="39"/>
        <v>28</v>
      </c>
      <c r="AQ120" s="27">
        <f t="shared" si="40"/>
        <v>24</v>
      </c>
      <c r="AR120" s="27">
        <f t="shared" si="41"/>
        <v>24</v>
      </c>
      <c r="AS120" s="28">
        <f t="shared" si="42"/>
        <v>26</v>
      </c>
    </row>
    <row r="125" spans="2:45" ht="27">
      <c r="B125" s="7" t="s">
        <v>545</v>
      </c>
    </row>
    <row r="126" spans="2:45">
      <c r="B126" s="130"/>
      <c r="C126" s="131"/>
      <c r="D126" s="126"/>
      <c r="E126" s="855" t="s">
        <v>546</v>
      </c>
      <c r="F126" s="856"/>
      <c r="G126" s="855" t="s">
        <v>546</v>
      </c>
      <c r="H126" s="856"/>
      <c r="N126" s="531" t="s">
        <v>547</v>
      </c>
    </row>
    <row r="127" spans="2:45">
      <c r="B127" s="104" t="s">
        <v>493</v>
      </c>
      <c r="C127" s="104" t="s">
        <v>548</v>
      </c>
      <c r="D127" s="129" t="s">
        <v>167</v>
      </c>
      <c r="E127" s="132" t="s">
        <v>548</v>
      </c>
      <c r="F127" s="127" t="s">
        <v>167</v>
      </c>
      <c r="G127" s="132" t="s">
        <v>548</v>
      </c>
      <c r="H127" s="127" t="s">
        <v>167</v>
      </c>
      <c r="N127" s="531" t="s">
        <v>549</v>
      </c>
    </row>
    <row r="128" spans="2:45">
      <c r="B128" s="101">
        <v>2020</v>
      </c>
      <c r="C128" s="128">
        <f t="shared" ref="C128:C158" si="43">D128*2</f>
        <v>1</v>
      </c>
      <c r="D128" s="187">
        <v>0.5</v>
      </c>
      <c r="E128" s="64">
        <f>'ZERO-B Beregning'!D48</f>
        <v>282708.27724624297</v>
      </c>
      <c r="F128" s="65">
        <f>E128/2</f>
        <v>141354.13862312149</v>
      </c>
      <c r="G128" s="64">
        <f t="shared" ref="G128:G158" si="44">E128/BRA_total</f>
        <v>141.35413862312149</v>
      </c>
      <c r="H128" s="64">
        <f t="shared" ref="H128:H158" si="45">F128/BRA_total</f>
        <v>70.677069311560743</v>
      </c>
    </row>
    <row r="129" spans="2:8">
      <c r="B129" s="101">
        <v>2021</v>
      </c>
      <c r="C129" s="128">
        <f t="shared" si="43"/>
        <v>0.94420000000000004</v>
      </c>
      <c r="D129" s="187">
        <v>0.47210000000000002</v>
      </c>
      <c r="E129" s="64">
        <f>$E$128*C129</f>
        <v>266933.1553759026</v>
      </c>
      <c r="F129" s="65">
        <f t="shared" ref="F129:F158" si="46">E129/2</f>
        <v>133466.5776879513</v>
      </c>
      <c r="G129" s="64">
        <f t="shared" si="44"/>
        <v>133.46657768795129</v>
      </c>
      <c r="H129" s="64">
        <f t="shared" si="45"/>
        <v>66.733288843975643</v>
      </c>
    </row>
    <row r="130" spans="2:8">
      <c r="B130" s="101">
        <v>2022</v>
      </c>
      <c r="C130" s="128">
        <f t="shared" si="43"/>
        <v>0.89200000000000002</v>
      </c>
      <c r="D130" s="187">
        <v>0.44600000000000001</v>
      </c>
      <c r="E130" s="64">
        <f t="shared" ref="E130:E158" si="47">$E$128*C130</f>
        <v>252175.78330364873</v>
      </c>
      <c r="F130" s="65">
        <f t="shared" si="46"/>
        <v>126087.89165182436</v>
      </c>
      <c r="G130" s="64">
        <f t="shared" si="44"/>
        <v>126.08789165182436</v>
      </c>
      <c r="H130" s="64">
        <f t="shared" si="45"/>
        <v>63.043945825912182</v>
      </c>
    </row>
    <row r="131" spans="2:8">
      <c r="B131" s="101">
        <v>2023</v>
      </c>
      <c r="C131" s="128">
        <f t="shared" si="43"/>
        <v>0.83979999999999999</v>
      </c>
      <c r="D131" s="187">
        <v>0.4199</v>
      </c>
      <c r="E131" s="64">
        <f t="shared" si="47"/>
        <v>237418.41123139486</v>
      </c>
      <c r="F131" s="65">
        <f t="shared" si="46"/>
        <v>118709.20561569743</v>
      </c>
      <c r="G131" s="64">
        <f t="shared" si="44"/>
        <v>118.70920561569743</v>
      </c>
      <c r="H131" s="64">
        <f t="shared" si="45"/>
        <v>59.354602807848714</v>
      </c>
    </row>
    <row r="132" spans="2:8">
      <c r="B132" s="101">
        <v>2024</v>
      </c>
      <c r="C132" s="128">
        <f t="shared" si="43"/>
        <v>0.78739999999999999</v>
      </c>
      <c r="D132" s="187">
        <v>0.39369999999999999</v>
      </c>
      <c r="E132" s="64">
        <f t="shared" si="47"/>
        <v>222604.4975036917</v>
      </c>
      <c r="F132" s="65">
        <f t="shared" si="46"/>
        <v>111302.24875184585</v>
      </c>
      <c r="G132" s="64">
        <f t="shared" si="44"/>
        <v>111.30224875184585</v>
      </c>
      <c r="H132" s="64">
        <f t="shared" si="45"/>
        <v>55.651124375922926</v>
      </c>
    </row>
    <row r="133" spans="2:8">
      <c r="B133" s="101">
        <v>2025</v>
      </c>
      <c r="C133" s="128">
        <f t="shared" si="43"/>
        <v>0.73519999999999996</v>
      </c>
      <c r="D133" s="187">
        <v>0.36759999999999998</v>
      </c>
      <c r="E133" s="64">
        <f t="shared" si="47"/>
        <v>207847.12543143783</v>
      </c>
      <c r="F133" s="65">
        <f t="shared" si="46"/>
        <v>103923.56271571892</v>
      </c>
      <c r="G133" s="64">
        <f t="shared" si="44"/>
        <v>103.92356271571892</v>
      </c>
      <c r="H133" s="64">
        <f t="shared" si="45"/>
        <v>51.961781357859458</v>
      </c>
    </row>
    <row r="134" spans="2:8">
      <c r="B134" s="101">
        <v>2026</v>
      </c>
      <c r="C134" s="128">
        <f t="shared" si="43"/>
        <v>0.68300000000000005</v>
      </c>
      <c r="D134" s="187">
        <v>0.34150000000000003</v>
      </c>
      <c r="E134" s="64">
        <f t="shared" si="47"/>
        <v>193089.75335918396</v>
      </c>
      <c r="F134" s="65">
        <f t="shared" si="46"/>
        <v>96544.87667959198</v>
      </c>
      <c r="G134" s="64">
        <f t="shared" si="44"/>
        <v>96.544876679591979</v>
      </c>
      <c r="H134" s="64">
        <f t="shared" si="45"/>
        <v>48.27243833979599</v>
      </c>
    </row>
    <row r="135" spans="2:8">
      <c r="B135" s="101">
        <v>2027</v>
      </c>
      <c r="C135" s="128">
        <f t="shared" si="43"/>
        <v>0.63060000000000005</v>
      </c>
      <c r="D135" s="187">
        <v>0.31530000000000002</v>
      </c>
      <c r="E135" s="64">
        <f t="shared" si="47"/>
        <v>178275.83963148083</v>
      </c>
      <c r="F135" s="65">
        <f t="shared" si="46"/>
        <v>89137.919815740417</v>
      </c>
      <c r="G135" s="64">
        <f t="shared" si="44"/>
        <v>89.137919815740418</v>
      </c>
      <c r="H135" s="64">
        <f t="shared" si="45"/>
        <v>44.568959907870209</v>
      </c>
    </row>
    <row r="136" spans="2:8">
      <c r="B136" s="101">
        <v>2028</v>
      </c>
      <c r="C136" s="128">
        <f t="shared" si="43"/>
        <v>0.57840000000000003</v>
      </c>
      <c r="D136" s="187">
        <v>0.28920000000000001</v>
      </c>
      <c r="E136" s="64">
        <f t="shared" si="47"/>
        <v>163518.46755922693</v>
      </c>
      <c r="F136" s="65">
        <f t="shared" si="46"/>
        <v>81759.233779613467</v>
      </c>
      <c r="G136" s="64">
        <f t="shared" si="44"/>
        <v>81.759233779613467</v>
      </c>
      <c r="H136" s="64">
        <f t="shared" si="45"/>
        <v>40.879616889806734</v>
      </c>
    </row>
    <row r="137" spans="2:8">
      <c r="B137" s="101">
        <v>2029</v>
      </c>
      <c r="C137" s="128">
        <f t="shared" si="43"/>
        <v>0.5262</v>
      </c>
      <c r="D137" s="187">
        <v>0.2631</v>
      </c>
      <c r="E137" s="64">
        <f t="shared" si="47"/>
        <v>148761.09548697306</v>
      </c>
      <c r="F137" s="65">
        <f t="shared" si="46"/>
        <v>74380.547743486532</v>
      </c>
      <c r="G137" s="64">
        <f t="shared" si="44"/>
        <v>74.380547743486531</v>
      </c>
      <c r="H137" s="64">
        <f t="shared" si="45"/>
        <v>37.190273871743265</v>
      </c>
    </row>
    <row r="138" spans="2:8">
      <c r="B138" s="101">
        <v>2030</v>
      </c>
      <c r="C138" s="128">
        <f t="shared" si="43"/>
        <v>0.4738</v>
      </c>
      <c r="D138" s="187">
        <v>0.2369</v>
      </c>
      <c r="E138" s="64">
        <f t="shared" si="47"/>
        <v>133947.18175926991</v>
      </c>
      <c r="F138" s="65">
        <f t="shared" si="46"/>
        <v>66973.590879634954</v>
      </c>
      <c r="G138" s="64">
        <f t="shared" si="44"/>
        <v>66.973590879634955</v>
      </c>
      <c r="H138" s="64">
        <f t="shared" si="45"/>
        <v>33.486795439817477</v>
      </c>
    </row>
    <row r="139" spans="2:8">
      <c r="B139" s="101">
        <v>2031</v>
      </c>
      <c r="C139" s="128">
        <f t="shared" si="43"/>
        <v>0.45300000000000001</v>
      </c>
      <c r="D139" s="187">
        <v>0.22650000000000001</v>
      </c>
      <c r="E139" s="64">
        <f t="shared" si="47"/>
        <v>128066.84959254807</v>
      </c>
      <c r="F139" s="65">
        <f t="shared" si="46"/>
        <v>64033.424796274034</v>
      </c>
      <c r="G139" s="64">
        <f t="shared" si="44"/>
        <v>64.033424796274033</v>
      </c>
      <c r="H139" s="64">
        <f t="shared" si="45"/>
        <v>32.016712398137017</v>
      </c>
    </row>
    <row r="140" spans="2:8">
      <c r="B140" s="101">
        <v>2032</v>
      </c>
      <c r="C140" s="128">
        <f t="shared" si="43"/>
        <v>0.43559999999999999</v>
      </c>
      <c r="D140" s="187">
        <v>0.21779999999999999</v>
      </c>
      <c r="E140" s="64">
        <f t="shared" si="47"/>
        <v>123147.72556846343</v>
      </c>
      <c r="F140" s="65">
        <f t="shared" si="46"/>
        <v>61573.862784231715</v>
      </c>
      <c r="G140" s="64">
        <f t="shared" si="44"/>
        <v>61.573862784231714</v>
      </c>
      <c r="H140" s="64">
        <f t="shared" si="45"/>
        <v>30.786931392115857</v>
      </c>
    </row>
    <row r="141" spans="2:8">
      <c r="B141" s="101">
        <v>2033</v>
      </c>
      <c r="C141" s="128">
        <f t="shared" si="43"/>
        <v>0.41460000000000002</v>
      </c>
      <c r="D141" s="187">
        <v>0.20730000000000001</v>
      </c>
      <c r="E141" s="64">
        <f t="shared" si="47"/>
        <v>117210.85174629235</v>
      </c>
      <c r="F141" s="65">
        <f t="shared" si="46"/>
        <v>58605.425873146174</v>
      </c>
      <c r="G141" s="64">
        <f t="shared" si="44"/>
        <v>58.605425873146174</v>
      </c>
      <c r="H141" s="64">
        <f t="shared" si="45"/>
        <v>29.302712936573087</v>
      </c>
    </row>
    <row r="142" spans="2:8">
      <c r="B142" s="101">
        <v>2034</v>
      </c>
      <c r="C142" s="128">
        <f t="shared" si="43"/>
        <v>0.39379999999999998</v>
      </c>
      <c r="D142" s="187">
        <v>0.19689999999999999</v>
      </c>
      <c r="E142" s="64">
        <f t="shared" si="47"/>
        <v>111330.51957957048</v>
      </c>
      <c r="F142" s="65">
        <f t="shared" si="46"/>
        <v>55665.259789785239</v>
      </c>
      <c r="G142" s="64">
        <f t="shared" si="44"/>
        <v>55.665259789785239</v>
      </c>
      <c r="H142" s="64">
        <f t="shared" si="45"/>
        <v>27.832629894892619</v>
      </c>
    </row>
    <row r="143" spans="2:8">
      <c r="B143" s="101">
        <v>2035</v>
      </c>
      <c r="C143" s="128">
        <f t="shared" si="43"/>
        <v>0.37280000000000002</v>
      </c>
      <c r="D143" s="187">
        <v>0.18640000000000001</v>
      </c>
      <c r="E143" s="64">
        <f t="shared" si="47"/>
        <v>105393.64575739938</v>
      </c>
      <c r="F143" s="65">
        <f t="shared" si="46"/>
        <v>52696.822878699692</v>
      </c>
      <c r="G143" s="64">
        <f t="shared" si="44"/>
        <v>52.696822878699692</v>
      </c>
      <c r="H143" s="64">
        <f t="shared" si="45"/>
        <v>26.348411439349846</v>
      </c>
    </row>
    <row r="144" spans="2:8">
      <c r="B144" s="101">
        <v>2036</v>
      </c>
      <c r="C144" s="128">
        <f t="shared" si="43"/>
        <v>0.35539999999999999</v>
      </c>
      <c r="D144" s="187">
        <v>0.1777</v>
      </c>
      <c r="E144" s="64">
        <f t="shared" si="47"/>
        <v>100474.52173331474</v>
      </c>
      <c r="F144" s="65">
        <f t="shared" si="46"/>
        <v>50237.260866657372</v>
      </c>
      <c r="G144" s="64">
        <f t="shared" si="44"/>
        <v>50.237260866657373</v>
      </c>
      <c r="H144" s="64">
        <f t="shared" si="45"/>
        <v>25.118630433328686</v>
      </c>
    </row>
    <row r="145" spans="2:8">
      <c r="B145" s="101">
        <v>2037</v>
      </c>
      <c r="C145" s="128">
        <f t="shared" si="43"/>
        <v>0.33439999999999998</v>
      </c>
      <c r="D145" s="187">
        <v>0.16719999999999999</v>
      </c>
      <c r="E145" s="64">
        <f t="shared" si="47"/>
        <v>94537.647911143649</v>
      </c>
      <c r="F145" s="65">
        <f t="shared" si="46"/>
        <v>47268.823955571825</v>
      </c>
      <c r="G145" s="64">
        <f t="shared" si="44"/>
        <v>47.268823955571825</v>
      </c>
      <c r="H145" s="64">
        <f t="shared" si="45"/>
        <v>23.634411977785913</v>
      </c>
    </row>
    <row r="146" spans="2:8">
      <c r="B146" s="101">
        <v>2038</v>
      </c>
      <c r="C146" s="128">
        <f t="shared" si="43"/>
        <v>0.31359999999999999</v>
      </c>
      <c r="D146" s="187">
        <v>0.15679999999999999</v>
      </c>
      <c r="E146" s="64">
        <f t="shared" si="47"/>
        <v>88657.315744421794</v>
      </c>
      <c r="F146" s="65">
        <f t="shared" si="46"/>
        <v>44328.657872210897</v>
      </c>
      <c r="G146" s="64">
        <f t="shared" si="44"/>
        <v>44.328657872210897</v>
      </c>
      <c r="H146" s="64">
        <f t="shared" si="45"/>
        <v>22.164328936105449</v>
      </c>
    </row>
    <row r="147" spans="2:8">
      <c r="B147" s="101">
        <v>2039</v>
      </c>
      <c r="C147" s="128">
        <f t="shared" si="43"/>
        <v>0.29620000000000002</v>
      </c>
      <c r="D147" s="187">
        <v>0.14810000000000001</v>
      </c>
      <c r="E147" s="64">
        <f t="shared" si="47"/>
        <v>83738.19172033717</v>
      </c>
      <c r="F147" s="65">
        <f t="shared" si="46"/>
        <v>41869.095860168585</v>
      </c>
      <c r="G147" s="64">
        <f t="shared" si="44"/>
        <v>41.869095860168585</v>
      </c>
      <c r="H147" s="64">
        <f t="shared" si="45"/>
        <v>20.934547930084292</v>
      </c>
    </row>
    <row r="148" spans="2:8">
      <c r="B148" s="101">
        <v>2040</v>
      </c>
      <c r="C148" s="128">
        <f t="shared" si="43"/>
        <v>0.2752</v>
      </c>
      <c r="D148" s="187">
        <v>0.1376</v>
      </c>
      <c r="E148" s="64">
        <f t="shared" si="47"/>
        <v>77801.31789816606</v>
      </c>
      <c r="F148" s="65">
        <f t="shared" si="46"/>
        <v>38900.65894908303</v>
      </c>
      <c r="G148" s="64">
        <f t="shared" si="44"/>
        <v>38.900658949083031</v>
      </c>
      <c r="H148" s="64">
        <f t="shared" si="45"/>
        <v>19.450329474541515</v>
      </c>
    </row>
    <row r="149" spans="2:8">
      <c r="B149" s="101">
        <v>2041</v>
      </c>
      <c r="C149" s="128">
        <f t="shared" si="43"/>
        <v>0.25440000000000002</v>
      </c>
      <c r="D149" s="187">
        <v>0.12720000000000001</v>
      </c>
      <c r="E149" s="64">
        <f t="shared" si="47"/>
        <v>71920.98573144422</v>
      </c>
      <c r="F149" s="65">
        <f t="shared" si="46"/>
        <v>35960.49286572211</v>
      </c>
      <c r="G149" s="64">
        <f t="shared" si="44"/>
        <v>35.960492865722109</v>
      </c>
      <c r="H149" s="64">
        <f t="shared" si="45"/>
        <v>17.980246432861055</v>
      </c>
    </row>
    <row r="150" spans="2:8">
      <c r="B150" s="101">
        <v>2042</v>
      </c>
      <c r="C150" s="128">
        <f t="shared" si="43"/>
        <v>0.2334</v>
      </c>
      <c r="D150" s="187">
        <v>0.1167</v>
      </c>
      <c r="E150" s="64">
        <f t="shared" si="47"/>
        <v>65984.11190927311</v>
      </c>
      <c r="F150" s="65">
        <f t="shared" si="46"/>
        <v>32992.055954636555</v>
      </c>
      <c r="G150" s="64">
        <f t="shared" si="44"/>
        <v>32.992055954636555</v>
      </c>
      <c r="H150" s="64">
        <f t="shared" si="45"/>
        <v>16.496027977318278</v>
      </c>
    </row>
    <row r="151" spans="2:8">
      <c r="B151" s="101">
        <v>2043</v>
      </c>
      <c r="C151" s="128">
        <f t="shared" si="43"/>
        <v>0.216</v>
      </c>
      <c r="D151" s="187">
        <v>0.108</v>
      </c>
      <c r="E151" s="64">
        <f t="shared" si="47"/>
        <v>61064.987885188479</v>
      </c>
      <c r="F151" s="65">
        <f t="shared" si="46"/>
        <v>30532.493942594239</v>
      </c>
      <c r="G151" s="64">
        <f t="shared" si="44"/>
        <v>30.53249394259424</v>
      </c>
      <c r="H151" s="64">
        <f t="shared" si="45"/>
        <v>15.26624697129712</v>
      </c>
    </row>
    <row r="152" spans="2:8">
      <c r="B152" s="101">
        <v>2044</v>
      </c>
      <c r="C152" s="128">
        <f t="shared" si="43"/>
        <v>0.19520000000000001</v>
      </c>
      <c r="D152" s="187">
        <v>9.7600000000000006E-2</v>
      </c>
      <c r="E152" s="64">
        <f t="shared" si="47"/>
        <v>55184.655718466631</v>
      </c>
      <c r="F152" s="65">
        <f t="shared" si="46"/>
        <v>27592.327859233315</v>
      </c>
      <c r="G152" s="64">
        <f t="shared" si="44"/>
        <v>27.592327859233315</v>
      </c>
      <c r="H152" s="64">
        <f t="shared" si="45"/>
        <v>13.796163929616657</v>
      </c>
    </row>
    <row r="153" spans="2:8">
      <c r="B153" s="101">
        <v>2045</v>
      </c>
      <c r="C153" s="128">
        <f t="shared" si="43"/>
        <v>0.17419999999999999</v>
      </c>
      <c r="D153" s="187">
        <v>8.7099999999999997E-2</v>
      </c>
      <c r="E153" s="64">
        <f t="shared" si="47"/>
        <v>49247.781896295521</v>
      </c>
      <c r="F153" s="65">
        <f t="shared" si="46"/>
        <v>24623.89094814776</v>
      </c>
      <c r="G153" s="64">
        <f t="shared" si="44"/>
        <v>24.623890948147761</v>
      </c>
      <c r="H153" s="64">
        <f t="shared" si="45"/>
        <v>12.31194547407388</v>
      </c>
    </row>
    <row r="154" spans="2:8">
      <c r="B154" s="101">
        <v>2046</v>
      </c>
      <c r="C154" s="128">
        <f t="shared" si="43"/>
        <v>0.15340000000000001</v>
      </c>
      <c r="D154" s="187">
        <v>7.6700000000000004E-2</v>
      </c>
      <c r="E154" s="64">
        <f t="shared" si="47"/>
        <v>43367.449729573673</v>
      </c>
      <c r="F154" s="65">
        <f t="shared" si="46"/>
        <v>21683.724864786836</v>
      </c>
      <c r="G154" s="64">
        <f t="shared" si="44"/>
        <v>21.683724864786836</v>
      </c>
      <c r="H154" s="64">
        <f t="shared" si="45"/>
        <v>10.841862432393418</v>
      </c>
    </row>
    <row r="155" spans="2:8">
      <c r="B155" s="101">
        <v>2047</v>
      </c>
      <c r="C155" s="128">
        <f t="shared" si="43"/>
        <v>0.1358</v>
      </c>
      <c r="D155" s="187">
        <v>6.7900000000000002E-2</v>
      </c>
      <c r="E155" s="64">
        <f t="shared" si="47"/>
        <v>38391.784050039794</v>
      </c>
      <c r="F155" s="65">
        <f t="shared" si="46"/>
        <v>19195.892025019897</v>
      </c>
      <c r="G155" s="64">
        <f t="shared" si="44"/>
        <v>19.195892025019898</v>
      </c>
      <c r="H155" s="64">
        <f t="shared" si="45"/>
        <v>9.5979460125099489</v>
      </c>
    </row>
    <row r="156" spans="2:8">
      <c r="B156" s="101">
        <v>2048</v>
      </c>
      <c r="C156" s="128">
        <f t="shared" si="43"/>
        <v>0.115</v>
      </c>
      <c r="D156" s="187">
        <v>5.7500000000000002E-2</v>
      </c>
      <c r="E156" s="64">
        <f t="shared" si="47"/>
        <v>32511.451883317943</v>
      </c>
      <c r="F156" s="65">
        <f t="shared" si="46"/>
        <v>16255.725941658971</v>
      </c>
      <c r="G156" s="64">
        <f t="shared" si="44"/>
        <v>16.255725941658973</v>
      </c>
      <c r="H156" s="64">
        <f t="shared" si="45"/>
        <v>8.1278629708294865</v>
      </c>
    </row>
    <row r="157" spans="2:8">
      <c r="B157" s="101">
        <v>2049</v>
      </c>
      <c r="C157" s="128">
        <f t="shared" si="43"/>
        <v>9.4E-2</v>
      </c>
      <c r="D157" s="187">
        <v>4.7E-2</v>
      </c>
      <c r="E157" s="64">
        <f t="shared" si="47"/>
        <v>26574.57806114684</v>
      </c>
      <c r="F157" s="65">
        <f t="shared" si="46"/>
        <v>13287.28903057342</v>
      </c>
      <c r="G157" s="64">
        <f t="shared" si="44"/>
        <v>13.287289030573421</v>
      </c>
      <c r="H157" s="64">
        <f t="shared" si="45"/>
        <v>6.6436445152867103</v>
      </c>
    </row>
    <row r="158" spans="2:8">
      <c r="B158" s="102">
        <v>2050</v>
      </c>
      <c r="C158" s="495">
        <f t="shared" si="43"/>
        <v>7.3200000000000001E-2</v>
      </c>
      <c r="D158" s="496">
        <v>3.6600000000000001E-2</v>
      </c>
      <c r="E158" s="66">
        <f t="shared" si="47"/>
        <v>20694.245894424985</v>
      </c>
      <c r="F158" s="65">
        <f t="shared" si="46"/>
        <v>10347.122947212492</v>
      </c>
      <c r="G158" s="64">
        <f t="shared" si="44"/>
        <v>10.347122947212492</v>
      </c>
      <c r="H158" s="64">
        <f t="shared" si="45"/>
        <v>5.1735614736062461</v>
      </c>
    </row>
  </sheetData>
  <sheetProtection algorithmName="SHA-512" hashValue="I4tGgGTMqKiaDyGHvqc5lA9/p+mcbU1ydrayqMzUfLs+ks9jHCq8kgdkTaMyYU5GTg9Ba/8ZGf+vcGWK6huobQ==" saltValue="14Dmy7tW7I6pFT60ebgQHQ==" spinCount="100000" sheet="1" objects="1" scenarios="1"/>
  <mergeCells count="20">
    <mergeCell ref="AJ14:AL14"/>
    <mergeCell ref="AM14:AO14"/>
    <mergeCell ref="AP14:AR14"/>
    <mergeCell ref="O14:Q14"/>
    <mergeCell ref="R14:T14"/>
    <mergeCell ref="U14:W14"/>
    <mergeCell ref="X14:Z14"/>
    <mergeCell ref="AA14:AC14"/>
    <mergeCell ref="AD14:AF14"/>
    <mergeCell ref="C14:E14"/>
    <mergeCell ref="F14:H14"/>
    <mergeCell ref="I14:K14"/>
    <mergeCell ref="L14:N14"/>
    <mergeCell ref="AG14:AI14"/>
    <mergeCell ref="E126:F126"/>
    <mergeCell ref="I52:J52"/>
    <mergeCell ref="C52:D52"/>
    <mergeCell ref="E52:F52"/>
    <mergeCell ref="G52:H52"/>
    <mergeCell ref="G126:H126"/>
  </mergeCells>
  <pageMargins left="0.7" right="0.7" top="0.75" bottom="0.75" header="0.3" footer="0.3"/>
  <headerFooter>
    <oddFooter>&amp;C_x000D_&amp;1#&amp;"Verdana"&amp;7&amp;K000000 Confidential</oddFooter>
  </headerFooter>
  <tableParts count="3">
    <tablePart r:id="rId1"/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74D76-A6C0-E54D-BDB3-7056106B21EF}">
  <sheetPr codeName="Sheet14"/>
  <dimension ref="B4:CR108"/>
  <sheetViews>
    <sheetView zoomScale="70" zoomScaleNormal="70" workbookViewId="0">
      <selection activeCell="B9" sqref="B9"/>
    </sheetView>
  </sheetViews>
  <sheetFormatPr defaultColWidth="10.875" defaultRowHeight="15"/>
  <cols>
    <col min="1" max="1" width="10.875" style="1"/>
    <col min="2" max="2" width="69.625" style="1" bestFit="1" customWidth="1"/>
    <col min="3" max="3" width="13.5" style="1" bestFit="1" customWidth="1"/>
    <col min="4" max="4" width="20.875" style="1" bestFit="1" customWidth="1"/>
    <col min="5" max="5" width="16.375" style="1" bestFit="1" customWidth="1"/>
    <col min="6" max="6" width="23.5" style="1" bestFit="1" customWidth="1"/>
    <col min="7" max="7" width="9.875" style="1" bestFit="1" customWidth="1"/>
    <col min="8" max="8" width="9.5" style="1" bestFit="1" customWidth="1"/>
    <col min="9" max="9" width="8.125" style="1" bestFit="1" customWidth="1"/>
    <col min="10" max="10" width="11.625" style="1" customWidth="1"/>
    <col min="11" max="11" width="6.125" style="215" customWidth="1"/>
    <col min="12" max="26" width="6.125" style="210" customWidth="1"/>
    <col min="27" max="27" width="13.125" style="210" customWidth="1"/>
    <col min="28" max="30" width="6.125" style="210" customWidth="1"/>
    <col min="31" max="31" width="5.875" style="210" bestFit="1" customWidth="1"/>
    <col min="32" max="34" width="6.125" style="210" customWidth="1"/>
    <col min="35" max="35" width="4.625" style="210" bestFit="1" customWidth="1"/>
    <col min="36" max="36" width="4.625" style="210" customWidth="1"/>
    <col min="37" max="37" width="5.625" style="210" bestFit="1" customWidth="1"/>
    <col min="38" max="38" width="7.5" style="210" bestFit="1" customWidth="1"/>
    <col min="39" max="39" width="6.625" style="1" bestFit="1" customWidth="1"/>
    <col min="40" max="41" width="8.5" style="1" bestFit="1" customWidth="1"/>
    <col min="42" max="42" width="8.5" style="1" customWidth="1"/>
    <col min="43" max="45" width="5.125" style="1" customWidth="1"/>
    <col min="46" max="46" width="4.625" style="1" bestFit="1" customWidth="1"/>
    <col min="47" max="50" width="3.125" style="1" bestFit="1" customWidth="1"/>
    <col min="51" max="54" width="2.5" style="1" bestFit="1" customWidth="1"/>
    <col min="55" max="96" width="3.125" style="1" bestFit="1" customWidth="1"/>
    <col min="97" max="16384" width="10.875" style="1"/>
  </cols>
  <sheetData>
    <row r="4" spans="2:96" ht="27.95">
      <c r="B4" s="10" t="s">
        <v>472</v>
      </c>
    </row>
    <row r="5" spans="2:96">
      <c r="B5" s="1" t="s">
        <v>550</v>
      </c>
    </row>
    <row r="6" spans="2:96" ht="171.95">
      <c r="K6" s="219" t="s">
        <v>551</v>
      </c>
      <c r="L6" s="216" t="s">
        <v>552</v>
      </c>
      <c r="M6" s="213" t="s">
        <v>553</v>
      </c>
      <c r="N6" s="213" t="s">
        <v>554</v>
      </c>
      <c r="O6" s="213" t="s">
        <v>555</v>
      </c>
      <c r="P6" s="217" t="s">
        <v>556</v>
      </c>
      <c r="Q6" s="216" t="s">
        <v>557</v>
      </c>
      <c r="R6" s="213" t="s">
        <v>558</v>
      </c>
      <c r="S6" s="213" t="s">
        <v>559</v>
      </c>
      <c r="T6" s="216" t="s">
        <v>560</v>
      </c>
      <c r="U6" s="213" t="s">
        <v>561</v>
      </c>
      <c r="V6" s="213" t="s">
        <v>562</v>
      </c>
      <c r="W6" s="216" t="s">
        <v>563</v>
      </c>
      <c r="X6" s="213" t="s">
        <v>564</v>
      </c>
      <c r="Y6" s="217" t="s">
        <v>565</v>
      </c>
      <c r="Z6" s="216" t="s">
        <v>566</v>
      </c>
      <c r="AA6" s="216" t="s">
        <v>567</v>
      </c>
      <c r="AB6" s="217" t="s">
        <v>568</v>
      </c>
      <c r="AC6" s="213" t="s">
        <v>569</v>
      </c>
      <c r="AD6" s="213" t="s">
        <v>570</v>
      </c>
      <c r="AE6" s="213" t="s">
        <v>571</v>
      </c>
      <c r="AF6" s="216" t="s">
        <v>572</v>
      </c>
      <c r="AG6" s="213" t="s">
        <v>573</v>
      </c>
      <c r="AH6" s="217" t="s">
        <v>574</v>
      </c>
      <c r="AI6" s="216" t="s">
        <v>575</v>
      </c>
      <c r="AJ6" s="213" t="s">
        <v>576</v>
      </c>
      <c r="AK6" s="213" t="s">
        <v>577</v>
      </c>
      <c r="AL6" s="213" t="s">
        <v>578</v>
      </c>
      <c r="AM6" s="213" t="s">
        <v>579</v>
      </c>
      <c r="AN6" s="213" t="s">
        <v>580</v>
      </c>
      <c r="AO6" s="213" t="s">
        <v>581</v>
      </c>
      <c r="AP6" s="213" t="s">
        <v>582</v>
      </c>
      <c r="AT6" s="1">
        <v>1</v>
      </c>
      <c r="AU6" s="1">
        <v>2</v>
      </c>
      <c r="AV6" s="1">
        <v>3</v>
      </c>
      <c r="AW6" s="1">
        <v>4</v>
      </c>
      <c r="AX6" s="1">
        <v>5</v>
      </c>
      <c r="AY6" s="1">
        <v>6</v>
      </c>
      <c r="AZ6" s="1">
        <v>7</v>
      </c>
      <c r="BA6" s="1">
        <v>8</v>
      </c>
      <c r="BB6" s="1">
        <v>9</v>
      </c>
      <c r="BC6" s="1">
        <v>10</v>
      </c>
      <c r="BD6" s="1">
        <v>11</v>
      </c>
      <c r="BE6" s="1">
        <v>12</v>
      </c>
      <c r="BF6" s="1">
        <v>13</v>
      </c>
      <c r="BG6" s="1">
        <v>14</v>
      </c>
      <c r="BH6" s="1">
        <v>15</v>
      </c>
      <c r="BI6" s="1">
        <v>16</v>
      </c>
      <c r="BJ6" s="1">
        <v>17</v>
      </c>
      <c r="BK6" s="1">
        <v>18</v>
      </c>
      <c r="BL6" s="1">
        <v>19</v>
      </c>
      <c r="BM6" s="1">
        <v>20</v>
      </c>
      <c r="BN6" s="1">
        <v>21</v>
      </c>
      <c r="BO6" s="1">
        <v>22</v>
      </c>
      <c r="BP6" s="1">
        <v>23</v>
      </c>
      <c r="BQ6" s="1">
        <v>24</v>
      </c>
      <c r="BR6" s="1">
        <v>25</v>
      </c>
      <c r="BS6" s="1">
        <v>26</v>
      </c>
      <c r="BT6" s="1">
        <v>27</v>
      </c>
      <c r="BU6" s="1">
        <v>28</v>
      </c>
      <c r="BV6" s="1">
        <v>29</v>
      </c>
      <c r="BW6" s="1">
        <v>30</v>
      </c>
      <c r="BX6" s="1">
        <v>31</v>
      </c>
      <c r="BY6" s="1">
        <v>32</v>
      </c>
      <c r="BZ6" s="1">
        <v>33</v>
      </c>
      <c r="CA6" s="1">
        <v>34</v>
      </c>
      <c r="CB6" s="1">
        <v>35</v>
      </c>
      <c r="CC6" s="1">
        <v>36</v>
      </c>
      <c r="CD6" s="1">
        <v>37</v>
      </c>
      <c r="CE6" s="1">
        <v>38</v>
      </c>
      <c r="CF6" s="1">
        <v>39</v>
      </c>
      <c r="CG6" s="1">
        <v>40</v>
      </c>
      <c r="CH6" s="1">
        <v>41</v>
      </c>
      <c r="CI6" s="1">
        <v>42</v>
      </c>
      <c r="CJ6" s="1">
        <v>43</v>
      </c>
      <c r="CK6" s="1">
        <v>44</v>
      </c>
      <c r="CL6" s="1">
        <v>45</v>
      </c>
      <c r="CM6" s="1">
        <v>46</v>
      </c>
      <c r="CN6" s="1">
        <v>47</v>
      </c>
      <c r="CO6" s="1">
        <v>48</v>
      </c>
      <c r="CP6" s="1">
        <v>49</v>
      </c>
      <c r="CQ6" s="1">
        <v>50</v>
      </c>
      <c r="CR6" s="1">
        <v>51</v>
      </c>
    </row>
    <row r="7" spans="2:96" ht="15.95">
      <c r="B7" s="222"/>
      <c r="C7" s="195" t="s">
        <v>583</v>
      </c>
      <c r="D7" s="223" t="s">
        <v>93</v>
      </c>
      <c r="J7" s="1">
        <v>0</v>
      </c>
      <c r="K7" s="220">
        <v>0</v>
      </c>
      <c r="L7" s="218">
        <f>2-EXP(0.00693*K7)</f>
        <v>1</v>
      </c>
      <c r="M7" s="206">
        <f>EXP(-0.01*K7)</f>
        <v>1</v>
      </c>
      <c r="N7" s="206">
        <f>EXP(-0.037*K7)</f>
        <v>1</v>
      </c>
      <c r="O7" s="206">
        <f>$L7*M7</f>
        <v>1</v>
      </c>
      <c r="P7" s="207">
        <f>$L7*N7</f>
        <v>1</v>
      </c>
      <c r="Q7" s="218" t="str">
        <f t="shared" ref="Q7:Q38" si="0">IF(K7=0, "", Beregningsperiode/K7-1)</f>
        <v/>
      </c>
      <c r="R7" s="206" t="str">
        <f>IF(Q7="", "", ROUNDDOWN(Q7,0))</f>
        <v/>
      </c>
      <c r="S7" s="206" t="str">
        <f>IF(Q7="", "", Q7-R7)</f>
        <v/>
      </c>
      <c r="T7" s="218" t="str" cm="1">
        <f t="array" ref="T7">IF(Q7="", "", IF(Q7&lt;1, 0, SUM(EXP(-0.01*_xlfn.SEQUENCE(1,R7)*K7)*(2-EXP(0.00693*_xlfn.SEQUENCE(1, R7)*K7)))))</f>
        <v/>
      </c>
      <c r="U7" s="206" t="str">
        <f>IF(Q7="", "", S7*(2-EXP(0.00693*(R7+1)*K7))*EXP(-0.01*(R7+1)*K7))</f>
        <v/>
      </c>
      <c r="V7" s="206" t="str">
        <f>IF(Q7="", "", T7+U7)</f>
        <v/>
      </c>
      <c r="W7" s="218" t="str" cm="1">
        <f t="array" ref="W7">IF(Q7="", "", IF(Q7&lt;1, 0, SUM(EXP(-0.037*_xlfn.SEQUENCE(1,R7)*K7)*(2-EXP(0.00693*_xlfn.SEQUENCE(1, R7)*K7)))))</f>
        <v/>
      </c>
      <c r="X7" s="206" t="str">
        <f>IF(Q7="", "", S7*(2-EXP(0.00693*(R7+1)*K7))*EXP(-0.037*(R7+1)*K7))</f>
        <v/>
      </c>
      <c r="Y7" s="207" t="str">
        <f>IF(Q7="", "", W7+X7)</f>
        <v/>
      </c>
      <c r="Z7" s="218">
        <f>EXP(-0.034*K7)</f>
        <v>1</v>
      </c>
      <c r="AA7" s="218">
        <f>O7*$Z7</f>
        <v>1</v>
      </c>
      <c r="AB7" s="207">
        <f>P7*$Z7</f>
        <v>1</v>
      </c>
      <c r="AC7" s="206" t="str" cm="1">
        <f t="array" ref="AC7">IF(Q7="", "", IF(Q7&lt;1, 0, SUM(EXP(-0.01*_xlfn.SEQUENCE(1,R7)*K7)*(2-EXP(0.00693*_xlfn.SEQUENCE(1, R7)*K7))*EXP(-0.034*_xlfn.SEQUENCE(1, R7)*K7))))</f>
        <v/>
      </c>
      <c r="AD7" s="206" t="str">
        <f>IF(Q7="", "", S7*(2-EXP(0.00693*(R7+1)*K7))*EXP(-0.01*(R7+1)*K7)*EXP(-0.034*(R7+1)*K7))</f>
        <v/>
      </c>
      <c r="AE7" s="206" t="str">
        <f>IF(Q7="", "", AC7+AD7)</f>
        <v/>
      </c>
      <c r="AF7" s="218" t="str" cm="1">
        <f t="array" ref="AF7">IF(Q7="", "", IF(Q7&lt;1, 0, SUM(EXP(-0.037*_xlfn.SEQUENCE(1,R7)*K7)*(2-EXP(0.00693*_xlfn.SEQUENCE(1, R7)*K7))*EXP(-0.034*_xlfn.SEQUENCE(1, R7)*K7))))</f>
        <v/>
      </c>
      <c r="AG7" s="206" t="str">
        <f>IF(Q7="", "", S7*(2-EXP(0.00693*(R7+1)*K7))*EXP(-0.037*(R7+1)*K7)*EXP(-0.034*(R7+1)*K7))</f>
        <v/>
      </c>
      <c r="AH7" s="207" t="str">
        <f>IF(Q7="", "", AF7+AG7)</f>
        <v/>
      </c>
      <c r="AI7" s="218">
        <f>EXP(-0.03*(K7))</f>
        <v>1</v>
      </c>
      <c r="AJ7" s="226">
        <f>K7+1</f>
        <v>1</v>
      </c>
      <c r="AK7" s="226">
        <f>MAX(50-AJ7, 0)</f>
        <v>49</v>
      </c>
      <c r="AL7" s="206" cm="1">
        <f t="array" ref="AL7">IF(AK7=0, "", SUM(EXP(-0.03*_xlfn.SEQUENCE(1,AK7, AJ7))))</f>
        <v>25.286038393779087</v>
      </c>
      <c r="AM7" s="210">
        <f t="shared" ref="AM7:AM38" si="1">SUMIF(_xlfn.XLOOKUP(AJ7, År_etter_ferdigstillelse_H, År_etter_ferdigstillelse_YN), "Y", sum_e__0_03_t_tau)</f>
        <v>485.63422960327375</v>
      </c>
      <c r="AO7" s="210">
        <f t="shared" ref="AO7:AO38" si="2">EXP(-0.03*(K7-Beregningsperiode))</f>
        <v>4.4816890703380645</v>
      </c>
      <c r="AP7" s="210">
        <f>AO7</f>
        <v>4.4816890703380645</v>
      </c>
      <c r="AT7" s="210" t="str" cm="1">
        <f t="array" ref="AT7:AT58">IF(År_etter_ferdigstillelse/AT6- ROUND(År_etter_ferdigstillelse/AT6, 0) =0, IF(50-År_etter_ferdigstillelse &lt;AT6, "L", "Y"), "N")</f>
        <v>Y</v>
      </c>
      <c r="AU7" s="210" t="str" cm="1">
        <f t="array" ref="AU7:AU58">IF(År_etter_ferdigstillelse/AU6- ROUND(År_etter_ferdigstillelse/AU6, 0) =0, IF(50-År_etter_ferdigstillelse &lt;AU6, "L", "Y"), "N")</f>
        <v>Y</v>
      </c>
      <c r="AV7" s="210" t="str" cm="1">
        <f t="array" ref="AV7:AV58">IF(År_etter_ferdigstillelse/AV6- ROUND(År_etter_ferdigstillelse/AV6, 0) =0, IF(50-År_etter_ferdigstillelse &lt;AV6, "L", "Y"), "N")</f>
        <v>Y</v>
      </c>
      <c r="AW7" s="210" t="str" cm="1">
        <f t="array" ref="AW7:AW58">IF(År_etter_ferdigstillelse/AW6- ROUND(År_etter_ferdigstillelse/AW6, 0) =0, IF(50-År_etter_ferdigstillelse &lt;AW6, "L", "Y"), "N")</f>
        <v>Y</v>
      </c>
      <c r="AX7" s="210" t="str" cm="1">
        <f t="array" ref="AX7:AX58">IF(År_etter_ferdigstillelse/AX6- ROUND(År_etter_ferdigstillelse/AX6, 0) =0, IF(50-År_etter_ferdigstillelse &lt;AX6, "L", "Y"), "N")</f>
        <v>Y</v>
      </c>
      <c r="AY7" s="210" t="str" cm="1">
        <f t="array" ref="AY7:AY58">IF(År_etter_ferdigstillelse/AY6- ROUND(År_etter_ferdigstillelse/AY6, 0) =0, IF(50-År_etter_ferdigstillelse &lt;AY6, "L", "Y"), "N")</f>
        <v>Y</v>
      </c>
      <c r="AZ7" s="210" t="str" cm="1">
        <f t="array" ref="AZ7:AZ58">IF(År_etter_ferdigstillelse/AZ6- ROUND(År_etter_ferdigstillelse/AZ6, 0) =0, IF(50-År_etter_ferdigstillelse &lt;AZ6, "L", "Y"), "N")</f>
        <v>Y</v>
      </c>
      <c r="BA7" s="210" t="str" cm="1">
        <f t="array" ref="BA7:BA58">IF(År_etter_ferdigstillelse/BA6- ROUND(År_etter_ferdigstillelse/BA6, 0) =0, IF(50-År_etter_ferdigstillelse &lt;BA6, "L", "Y"), "N")</f>
        <v>Y</v>
      </c>
      <c r="BB7" s="210" t="str" cm="1">
        <f t="array" ref="BB7:BB58">IF(År_etter_ferdigstillelse/BB6- ROUND(År_etter_ferdigstillelse/BB6, 0) =0, IF(50-År_etter_ferdigstillelse &lt;BB6, "L", "Y"), "N")</f>
        <v>Y</v>
      </c>
      <c r="BC7" s="210" t="str" cm="1">
        <f t="array" ref="BC7:BC58">IF(År_etter_ferdigstillelse/BC6- ROUND(År_etter_ferdigstillelse/BC6, 0) =0, IF(50-År_etter_ferdigstillelse &lt;BC6, "L", "Y"), "N")</f>
        <v>Y</v>
      </c>
      <c r="BD7" s="210" t="str" cm="1">
        <f t="array" ref="BD7:BD58">IF(År_etter_ferdigstillelse/BD6- ROUND(År_etter_ferdigstillelse/BD6, 0) =0, IF(50-År_etter_ferdigstillelse &lt;BD6, "L", "Y"), "N")</f>
        <v>Y</v>
      </c>
      <c r="BE7" s="210" t="str" cm="1">
        <f t="array" ref="BE7:BE58">IF(År_etter_ferdigstillelse/BE6- ROUND(År_etter_ferdigstillelse/BE6, 0) =0, IF(50-År_etter_ferdigstillelse &lt;BE6, "L", "Y"), "N")</f>
        <v>Y</v>
      </c>
      <c r="BF7" s="210" t="str" cm="1">
        <f t="array" ref="BF7:BF58">IF(År_etter_ferdigstillelse/BF6- ROUND(År_etter_ferdigstillelse/BF6, 0) =0, IF(50-År_etter_ferdigstillelse &lt;BF6, "L", "Y"), "N")</f>
        <v>Y</v>
      </c>
      <c r="BG7" s="210" t="str" cm="1">
        <f t="array" ref="BG7:BG58">IF(År_etter_ferdigstillelse/BG6- ROUND(År_etter_ferdigstillelse/BG6, 0) =0, IF(50-År_etter_ferdigstillelse &lt;BG6, "L", "Y"), "N")</f>
        <v>Y</v>
      </c>
      <c r="BH7" s="210" t="str" cm="1">
        <f t="array" ref="BH7:BH58">IF(År_etter_ferdigstillelse/BH6- ROUND(År_etter_ferdigstillelse/BH6, 0) =0, IF(50-År_etter_ferdigstillelse &lt;BH6, "L", "Y"), "N")</f>
        <v>Y</v>
      </c>
      <c r="BI7" s="210" t="str" cm="1">
        <f t="array" ref="BI7:BI58">IF(År_etter_ferdigstillelse/BI6- ROUND(År_etter_ferdigstillelse/BI6, 0) =0, IF(50-År_etter_ferdigstillelse &lt;BI6, "L", "Y"), "N")</f>
        <v>Y</v>
      </c>
      <c r="BJ7" s="210" t="str" cm="1">
        <f t="array" ref="BJ7:BJ58">IF(År_etter_ferdigstillelse/BJ6- ROUND(År_etter_ferdigstillelse/BJ6, 0) =0, IF(50-År_etter_ferdigstillelse &lt;BJ6, "L", "Y"), "N")</f>
        <v>Y</v>
      </c>
      <c r="BK7" s="210" t="str" cm="1">
        <f t="array" ref="BK7:BK58">IF(År_etter_ferdigstillelse/BK6- ROUND(År_etter_ferdigstillelse/BK6, 0) =0, IF(50-År_etter_ferdigstillelse &lt;BK6, "L", "Y"), "N")</f>
        <v>Y</v>
      </c>
      <c r="BL7" s="210" t="str" cm="1">
        <f t="array" ref="BL7:BL58">IF(År_etter_ferdigstillelse/BL6- ROUND(År_etter_ferdigstillelse/BL6, 0) =0, IF(50-År_etter_ferdigstillelse &lt;BL6, "L", "Y"), "N")</f>
        <v>Y</v>
      </c>
      <c r="BM7" s="210" t="str" cm="1">
        <f t="array" ref="BM7:BM58">IF(År_etter_ferdigstillelse/BM6- ROUND(År_etter_ferdigstillelse/BM6, 0) =0, IF(50-År_etter_ferdigstillelse &lt;BM6, "L", "Y"), "N")</f>
        <v>Y</v>
      </c>
      <c r="BN7" s="210" t="str" cm="1">
        <f t="array" ref="BN7:BN58">IF(År_etter_ferdigstillelse/BN6- ROUND(År_etter_ferdigstillelse/BN6, 0) =0, IF(50-År_etter_ferdigstillelse &lt;BN6, "L", "Y"), "N")</f>
        <v>Y</v>
      </c>
      <c r="BO7" s="210" t="str" cm="1">
        <f t="array" ref="BO7:BO58">IF(År_etter_ferdigstillelse/BO6- ROUND(År_etter_ferdigstillelse/BO6, 0) =0, IF(50-År_etter_ferdigstillelse &lt;BO6, "L", "Y"), "N")</f>
        <v>Y</v>
      </c>
      <c r="BP7" s="210" t="str" cm="1">
        <f t="array" ref="BP7:BP58">IF(År_etter_ferdigstillelse/BP6- ROUND(År_etter_ferdigstillelse/BP6, 0) =0, IF(50-År_etter_ferdigstillelse &lt;BP6, "L", "Y"), "N")</f>
        <v>Y</v>
      </c>
      <c r="BQ7" s="210" t="str" cm="1">
        <f t="array" ref="BQ7:BQ58">IF(År_etter_ferdigstillelse/BQ6- ROUND(År_etter_ferdigstillelse/BQ6, 0) =0, IF(50-År_etter_ferdigstillelse &lt;BQ6, "L", "Y"), "N")</f>
        <v>Y</v>
      </c>
      <c r="BR7" s="210" t="str" cm="1">
        <f t="array" ref="BR7:BR58">IF(År_etter_ferdigstillelse/BR6- ROUND(År_etter_ferdigstillelse/BR6, 0) =0, IF(50-År_etter_ferdigstillelse &lt;BR6, "L", "Y"), "N")</f>
        <v>Y</v>
      </c>
      <c r="BS7" s="210" t="str" cm="1">
        <f t="array" ref="BS7:BS58">IF(År_etter_ferdigstillelse/BS6- ROUND(År_etter_ferdigstillelse/BS6, 0) =0, IF(50-År_etter_ferdigstillelse &lt;BS6, "L", "Y"), "N")</f>
        <v>Y</v>
      </c>
      <c r="BT7" s="210" t="str" cm="1">
        <f t="array" ref="BT7:BT58">IF(År_etter_ferdigstillelse/BT6- ROUND(År_etter_ferdigstillelse/BT6, 0) =0, IF(50-År_etter_ferdigstillelse &lt;BT6, "L", "Y"), "N")</f>
        <v>Y</v>
      </c>
      <c r="BU7" s="210" t="str" cm="1">
        <f t="array" ref="BU7:BU58">IF(År_etter_ferdigstillelse/BU6- ROUND(År_etter_ferdigstillelse/BU6, 0) =0, IF(50-År_etter_ferdigstillelse &lt;BU6, "L", "Y"), "N")</f>
        <v>Y</v>
      </c>
      <c r="BV7" s="210" t="str" cm="1">
        <f t="array" ref="BV7:BV58">IF(År_etter_ferdigstillelse/BV6- ROUND(År_etter_ferdigstillelse/BV6, 0) =0, IF(50-År_etter_ferdigstillelse &lt;BV6, "L", "Y"), "N")</f>
        <v>Y</v>
      </c>
      <c r="BW7" s="210" t="str" cm="1">
        <f t="array" ref="BW7:BW58">IF(År_etter_ferdigstillelse/BW6- ROUND(År_etter_ferdigstillelse/BW6, 0) =0, IF(50-År_etter_ferdigstillelse &lt;BW6, "L", "Y"), "N")</f>
        <v>Y</v>
      </c>
      <c r="BX7" s="210" t="str" cm="1">
        <f t="array" ref="BX7:BX58">IF(År_etter_ferdigstillelse/BX6- ROUND(År_etter_ferdigstillelse/BX6, 0) =0, IF(50-År_etter_ferdigstillelse &lt;BX6, "L", "Y"), "N")</f>
        <v>Y</v>
      </c>
      <c r="BY7" s="210" t="str" cm="1">
        <f t="array" ref="BY7:BY58">IF(År_etter_ferdigstillelse/BY6- ROUND(År_etter_ferdigstillelse/BY6, 0) =0, IF(50-År_etter_ferdigstillelse &lt;BY6, "L", "Y"), "N")</f>
        <v>Y</v>
      </c>
      <c r="BZ7" s="210" t="str" cm="1">
        <f t="array" ref="BZ7:BZ58">IF(År_etter_ferdigstillelse/BZ6- ROUND(År_etter_ferdigstillelse/BZ6, 0) =0, IF(50-År_etter_ferdigstillelse &lt;BZ6, "L", "Y"), "N")</f>
        <v>Y</v>
      </c>
      <c r="CA7" s="210" t="str" cm="1">
        <f t="array" ref="CA7:CA58">IF(År_etter_ferdigstillelse/CA6- ROUND(År_etter_ferdigstillelse/CA6, 0) =0, IF(50-År_etter_ferdigstillelse &lt;CA6, "L", "Y"), "N")</f>
        <v>Y</v>
      </c>
      <c r="CB7" s="210" t="str" cm="1">
        <f t="array" ref="CB7:CB58">IF(År_etter_ferdigstillelse/CB6- ROUND(År_etter_ferdigstillelse/CB6, 0) =0, IF(50-År_etter_ferdigstillelse &lt;CB6, "L", "Y"), "N")</f>
        <v>Y</v>
      </c>
      <c r="CC7" s="210" t="str" cm="1">
        <f t="array" ref="CC7:CC58">IF(År_etter_ferdigstillelse/CC6- ROUND(År_etter_ferdigstillelse/CC6, 0) =0, IF(50-År_etter_ferdigstillelse &lt;CC6, "L", "Y"), "N")</f>
        <v>Y</v>
      </c>
      <c r="CD7" s="210" t="str" cm="1">
        <f t="array" ref="CD7:CD58">IF(År_etter_ferdigstillelse/CD6- ROUND(År_etter_ferdigstillelse/CD6, 0) =0, IF(50-År_etter_ferdigstillelse &lt;CD6, "L", "Y"), "N")</f>
        <v>Y</v>
      </c>
      <c r="CE7" s="210" t="str" cm="1">
        <f t="array" ref="CE7:CE58">IF(År_etter_ferdigstillelse/CE6- ROUND(År_etter_ferdigstillelse/CE6, 0) =0, IF(50-År_etter_ferdigstillelse &lt;CE6, "L", "Y"), "N")</f>
        <v>Y</v>
      </c>
      <c r="CF7" s="210" t="str" cm="1">
        <f t="array" ref="CF7:CF58">IF(År_etter_ferdigstillelse/CF6- ROUND(År_etter_ferdigstillelse/CF6, 0) =0, IF(50-År_etter_ferdigstillelse &lt;CF6, "L", "Y"), "N")</f>
        <v>Y</v>
      </c>
      <c r="CG7" s="210" t="str" cm="1">
        <f t="array" ref="CG7:CG58">IF(År_etter_ferdigstillelse/CG6- ROUND(År_etter_ferdigstillelse/CG6, 0) =0, IF(50-År_etter_ferdigstillelse &lt;CG6, "L", "Y"), "N")</f>
        <v>Y</v>
      </c>
      <c r="CH7" s="210" t="str" cm="1">
        <f t="array" ref="CH7:CH58">IF(År_etter_ferdigstillelse/CH6- ROUND(År_etter_ferdigstillelse/CH6, 0) =0, IF(50-År_etter_ferdigstillelse &lt;CH6, "L", "Y"), "N")</f>
        <v>Y</v>
      </c>
      <c r="CI7" s="210" t="str" cm="1">
        <f t="array" ref="CI7:CI58">IF(År_etter_ferdigstillelse/CI6- ROUND(År_etter_ferdigstillelse/CI6, 0) =0, IF(50-År_etter_ferdigstillelse &lt;CI6, "L", "Y"), "N")</f>
        <v>Y</v>
      </c>
      <c r="CJ7" s="210" t="str" cm="1">
        <f t="array" ref="CJ7:CJ58">IF(År_etter_ferdigstillelse/CJ6- ROUND(År_etter_ferdigstillelse/CJ6, 0) =0, IF(50-År_etter_ferdigstillelse &lt;CJ6, "L", "Y"), "N")</f>
        <v>Y</v>
      </c>
      <c r="CK7" s="210" t="str" cm="1">
        <f t="array" ref="CK7:CK58">IF(År_etter_ferdigstillelse/CK6- ROUND(År_etter_ferdigstillelse/CK6, 0) =0, IF(50-År_etter_ferdigstillelse &lt;CK6, "L", "Y"), "N")</f>
        <v>Y</v>
      </c>
      <c r="CL7" s="210" t="str" cm="1">
        <f t="array" ref="CL7:CL58">IF(År_etter_ferdigstillelse/CL6- ROUND(År_etter_ferdigstillelse/CL6, 0) =0, IF(50-År_etter_ferdigstillelse &lt;CL6, "L", "Y"), "N")</f>
        <v>Y</v>
      </c>
      <c r="CM7" s="210" t="str" cm="1">
        <f t="array" ref="CM7:CM58">IF(År_etter_ferdigstillelse/CM6- ROUND(År_etter_ferdigstillelse/CM6, 0) =0, IF(50-År_etter_ferdigstillelse &lt;CM6, "L", "Y"), "N")</f>
        <v>Y</v>
      </c>
      <c r="CN7" s="210" t="str" cm="1">
        <f t="array" ref="CN7:CN58">IF(År_etter_ferdigstillelse/CN6- ROUND(År_etter_ferdigstillelse/CN6, 0) =0, IF(50-År_etter_ferdigstillelse &lt;CN6, "L", "Y"), "N")</f>
        <v>Y</v>
      </c>
      <c r="CO7" s="210" t="str" cm="1">
        <f t="array" ref="CO7:CO58">IF(År_etter_ferdigstillelse/CO6- ROUND(År_etter_ferdigstillelse/CO6, 0) =0, IF(50-År_etter_ferdigstillelse &lt;CO6, "L", "Y"), "N")</f>
        <v>Y</v>
      </c>
      <c r="CP7" s="210" t="str" cm="1">
        <f t="array" ref="CP7:CP58">IF(År_etter_ferdigstillelse/CP6- ROUND(År_etter_ferdigstillelse/CP6, 0) =0, IF(50-År_etter_ferdigstillelse &lt;CP6, "L", "Y"), "N")</f>
        <v>Y</v>
      </c>
      <c r="CQ7" s="210" t="str" cm="1">
        <f t="array" ref="CQ7:CQ58">IF(År_etter_ferdigstillelse/CQ6- ROUND(År_etter_ferdigstillelse/CQ6, 0) =0, IF(50-År_etter_ferdigstillelse &lt;CQ6, "L", "Y"), "N")</f>
        <v>Y</v>
      </c>
      <c r="CR7" s="210" t="str" cm="1">
        <f t="array" ref="CR7:CR58">IF(År_etter_ferdigstillelse/CR6- ROUND(År_etter_ferdigstillelse/CR6, 0) =0, IF(50-År_etter_ferdigstillelse &lt;CR6, "L", "Y"), "N")</f>
        <v>L</v>
      </c>
    </row>
    <row r="8" spans="2:96">
      <c r="B8" s="221" t="s">
        <v>584</v>
      </c>
      <c r="C8" s="225">
        <f>Beregningsperiode</f>
        <v>50</v>
      </c>
      <c r="D8" s="4" t="s">
        <v>585</v>
      </c>
      <c r="J8" s="1">
        <v>0</v>
      </c>
      <c r="K8" s="220">
        <v>1</v>
      </c>
      <c r="L8" s="218">
        <f>2-EXP(0.00693*K8)</f>
        <v>0.99304593198500757</v>
      </c>
      <c r="M8" s="206">
        <f>EXP(-0.01*K8)</f>
        <v>0.99004983374916811</v>
      </c>
      <c r="N8" s="206">
        <f>EXP(-0.037*K8)</f>
        <v>0.9636761353490535</v>
      </c>
      <c r="O8" s="206">
        <f t="shared" ref="O8:O58" si="3">$L8*M8</f>
        <v>0.98316495986704444</v>
      </c>
      <c r="P8" s="207">
        <f t="shared" ref="P8:P58" si="4">$L8*N8</f>
        <v>0.95697466595941116</v>
      </c>
      <c r="Q8" s="218">
        <f t="shared" si="0"/>
        <v>49</v>
      </c>
      <c r="R8" s="206">
        <f t="shared" ref="R8:R56" si="5">IF(Q8="", "", ROUNDDOWN(Q8,0))</f>
        <v>49</v>
      </c>
      <c r="S8" s="206">
        <f>Q8-R8</f>
        <v>0</v>
      </c>
      <c r="T8" s="218" cm="1">
        <f t="array" ref="T8">IF(Q8="", "", IF(Q8&lt;1, 0, SUM(EXP(-0.01*_xlfn.SEQUENCE(1,R8)*K8)*(2-EXP(0.00693*_xlfn.SEQUENCE(1, R8)*K8)))))</f>
        <v>31.665264549873836</v>
      </c>
      <c r="U8" s="206">
        <f t="shared" ref="U8:U56" si="6">IF(Q8="", "", S8*(2-EXP(0.00693*(R8+1)*K8))*EXP(-0.01*(R8+1)*K8))</f>
        <v>0</v>
      </c>
      <c r="V8" s="206">
        <f t="shared" ref="V8:V56" si="7">IF(Q8="", "", T8+U8)</f>
        <v>31.665264549873836</v>
      </c>
      <c r="W8" s="218" cm="1">
        <f t="array" ref="W8">IF(Q8="", "", IF(Q8&lt;1, 0, SUM(EXP(-0.037*_xlfn.SEQUENCE(1,R8)*K8)*(2-EXP(0.00693*_xlfn.SEQUENCE(1, R8)*K8)))))</f>
        <v>19.150629540132968</v>
      </c>
      <c r="X8" s="206">
        <f t="shared" ref="X8:X56" si="8">IF(Q8="", "", S8*(2-EXP(0.00693*(R8+1)*K8))*EXP(-0.037*(R8+1)*K8))</f>
        <v>0</v>
      </c>
      <c r="Y8" s="207">
        <f>IF(Q8="", "", W8+X8)</f>
        <v>19.150629540132968</v>
      </c>
      <c r="Z8" s="218">
        <f>EXP(-0.034*K8)</f>
        <v>0.96657150463750663</v>
      </c>
      <c r="AA8" s="218">
        <f t="shared" ref="AA8:AA56" si="9">O8*$Z8</f>
        <v>0.95029923456556298</v>
      </c>
      <c r="AB8" s="207">
        <f t="shared" ref="AB8:AB56" si="10">P8*$Z8</f>
        <v>0.92498444277636338</v>
      </c>
      <c r="AC8" s="206" cm="1">
        <f t="array" ref="AC8">IF(Q8="", "", IF(Q8&lt;1, 0, SUM(EXP(-0.01*_xlfn.SEQUENCE(1,R8)*K8)*(2-EXP(0.00693*_xlfn.SEQUENCE(1, R8)*K8))*EXP(-0.034*_xlfn.SEQUENCE(1, R8)*K8))))</f>
        <v>17.140311814772538</v>
      </c>
      <c r="AD8" s="206">
        <f t="shared" ref="AD8:AD56" si="11">IF(Q8="", "", S8*(2-EXP(0.00693*(R8+1)*K8))*EXP(-0.01*(R8+1)*K8))</f>
        <v>0</v>
      </c>
      <c r="AE8" s="206">
        <f t="shared" ref="AE8:AE56" si="12">IF(Q8="", "", AC8+AD8)</f>
        <v>17.140311814772538</v>
      </c>
      <c r="AF8" s="218" cm="1">
        <f t="array" ref="AF8">IF(Q8="", "", IF(Q8&lt;1, 0, SUM(EXP(-0.037*_xlfn.SEQUENCE(1,R8)*K8)*(2-EXP(0.00693*_xlfn.SEQUENCE(1, R8)*K8))*EXP(-0.034*_xlfn.SEQUENCE(1, R8)*K8))))</f>
        <v>11.883886973263589</v>
      </c>
      <c r="AG8" s="206">
        <f t="shared" ref="AG8:AG56" si="13">IF(Q8="", "", S8*(2-EXP(0.00693*(R8+1)*K8))*EXP(-0.037*(R8+1)*K8)*EXP(-0.034*(R8+1)*K8))</f>
        <v>0</v>
      </c>
      <c r="AH8" s="207">
        <f t="shared" ref="AH8:AH56" si="14">IF(Q8="", "", AF8+AG8)</f>
        <v>11.883886973263589</v>
      </c>
      <c r="AI8" s="218">
        <f t="shared" ref="AI8:AI56" si="15">EXP(-0.03*K8)</f>
        <v>0.97044553354850815</v>
      </c>
      <c r="AJ8" s="226">
        <f t="shared" ref="AJ8:AJ58" si="16">K8+1</f>
        <v>2</v>
      </c>
      <c r="AK8" s="226">
        <f t="shared" ref="AK8:AK56" si="17">MAX(50-AJ8, 0)</f>
        <v>48</v>
      </c>
      <c r="AL8" s="206" cm="1">
        <f t="array" ref="AL8">IF(AK8=0, "", SUM(EXP(-0.03*_xlfn.SEQUENCE(1,AK8, AJ8))))</f>
        <v>24.315592860230581</v>
      </c>
      <c r="AM8" s="210">
        <f t="shared" si="1"/>
        <v>249.29005914838797</v>
      </c>
      <c r="AN8" s="1">
        <f t="shared" ref="AN8:AN38" si="18">SUMIF(_xlfn.XLOOKUP(AJ8, År_etter_ferdigstillelse_H, År_etter_ferdigstillelse_YN), "L", sum_e__0_03_t_tau)*IF(ISBLANK(S8), 0, S8)</f>
        <v>0</v>
      </c>
      <c r="AO8" s="210">
        <f t="shared" si="2"/>
        <v>4.3492351410627412</v>
      </c>
      <c r="AP8" s="210">
        <f>AP7+AO8</f>
        <v>8.8309242114008057</v>
      </c>
      <c r="AT8" s="210" t="str">
        <v>Y</v>
      </c>
      <c r="AU8" s="210" t="str">
        <v>N</v>
      </c>
      <c r="AV8" s="210" t="str">
        <v>N</v>
      </c>
      <c r="AW8" s="210" t="str">
        <v>N</v>
      </c>
      <c r="AX8" s="210" t="str">
        <v>N</v>
      </c>
      <c r="AY8" s="210" t="str">
        <v>N</v>
      </c>
      <c r="AZ8" s="210" t="str">
        <v>N</v>
      </c>
      <c r="BA8" s="210" t="str">
        <v>N</v>
      </c>
      <c r="BB8" s="210" t="str">
        <v>N</v>
      </c>
      <c r="BC8" s="210" t="str">
        <v>N</v>
      </c>
      <c r="BD8" s="210" t="str">
        <v>N</v>
      </c>
      <c r="BE8" s="210" t="str">
        <v>N</v>
      </c>
      <c r="BF8" s="210" t="str">
        <v>N</v>
      </c>
      <c r="BG8" s="210" t="str">
        <v>N</v>
      </c>
      <c r="BH8" s="210" t="str">
        <v>N</v>
      </c>
      <c r="BI8" s="210" t="str">
        <v>N</v>
      </c>
      <c r="BJ8" s="210" t="str">
        <v>N</v>
      </c>
      <c r="BK8" s="210" t="str">
        <v>N</v>
      </c>
      <c r="BL8" s="210" t="str">
        <v>N</v>
      </c>
      <c r="BM8" s="210" t="str">
        <v>N</v>
      </c>
      <c r="BN8" s="210" t="str">
        <v>N</v>
      </c>
      <c r="BO8" s="210" t="str">
        <v>N</v>
      </c>
      <c r="BP8" s="210" t="str">
        <v>N</v>
      </c>
      <c r="BQ8" s="210" t="str">
        <v>N</v>
      </c>
      <c r="BR8" s="210" t="str">
        <v>N</v>
      </c>
      <c r="BS8" s="210" t="str">
        <v>N</v>
      </c>
      <c r="BT8" s="210" t="str">
        <v>N</v>
      </c>
      <c r="BU8" s="210" t="str">
        <v>N</v>
      </c>
      <c r="BV8" s="210" t="str">
        <v>N</v>
      </c>
      <c r="BW8" s="210" t="str">
        <v>N</v>
      </c>
      <c r="BX8" s="210" t="str">
        <v>N</v>
      </c>
      <c r="BY8" s="210" t="str">
        <v>N</v>
      </c>
      <c r="BZ8" s="210" t="str">
        <v>N</v>
      </c>
      <c r="CA8" s="210" t="str">
        <v>N</v>
      </c>
      <c r="CB8" s="210" t="str">
        <v>N</v>
      </c>
      <c r="CC8" s="210" t="str">
        <v>N</v>
      </c>
      <c r="CD8" s="210" t="str">
        <v>N</v>
      </c>
      <c r="CE8" s="210" t="str">
        <v>N</v>
      </c>
      <c r="CF8" s="210" t="str">
        <v>N</v>
      </c>
      <c r="CG8" s="210" t="str">
        <v>N</v>
      </c>
      <c r="CH8" s="210" t="str">
        <v>N</v>
      </c>
      <c r="CI8" s="210" t="str">
        <v>N</v>
      </c>
      <c r="CJ8" s="210" t="str">
        <v>N</v>
      </c>
      <c r="CK8" s="210" t="str">
        <v>N</v>
      </c>
      <c r="CL8" s="210" t="str">
        <v>N</v>
      </c>
      <c r="CM8" s="210" t="str">
        <v>N</v>
      </c>
      <c r="CN8" s="210" t="str">
        <v>N</v>
      </c>
      <c r="CO8" s="1" t="str">
        <v>N</v>
      </c>
      <c r="CP8" s="1" t="str">
        <v>N</v>
      </c>
      <c r="CQ8" s="1" t="str">
        <v>N</v>
      </c>
      <c r="CR8" s="1" t="str">
        <v>N</v>
      </c>
    </row>
    <row r="9" spans="2:96">
      <c r="B9" s="224" t="s">
        <v>70</v>
      </c>
      <c r="C9" s="225">
        <f>Ferdigstillelsesår</f>
        <v>2025</v>
      </c>
      <c r="D9" s="4"/>
      <c r="J9" s="1">
        <v>0</v>
      </c>
      <c r="K9" s="220">
        <v>2</v>
      </c>
      <c r="L9" s="218">
        <f>2-EXP(0.00693*K9)</f>
        <v>0.98604350490805781</v>
      </c>
      <c r="M9" s="206">
        <f t="shared" ref="M9:M56" si="19">EXP(-0.01*K9)</f>
        <v>0.98019867330675525</v>
      </c>
      <c r="N9" s="206">
        <f t="shared" ref="N9:N56" si="20">EXP(-0.037*K9)</f>
        <v>0.92867169384128723</v>
      </c>
      <c r="O9" s="206">
        <f t="shared" si="3"/>
        <v>0.96651853533362131</v>
      </c>
      <c r="P9" s="207">
        <f t="shared" si="4"/>
        <v>0.91571069190416565</v>
      </c>
      <c r="Q9" s="218">
        <f t="shared" si="0"/>
        <v>24</v>
      </c>
      <c r="R9" s="206">
        <f t="shared" si="5"/>
        <v>24</v>
      </c>
      <c r="S9" s="206">
        <f t="shared" ref="S9:S56" si="21">Q9-R9</f>
        <v>0</v>
      </c>
      <c r="T9" s="218" cm="1">
        <f t="array" ref="T9">IF(Q9="", "", IF(Q9&lt;1, 0, SUM(EXP(-0.01*_xlfn.SEQUENCE(1,R9)*K9)*(2-EXP(0.00693*_xlfn.SEQUENCE(1, R9)*K9)))))</f>
        <v>15.49472119399498</v>
      </c>
      <c r="U9" s="206">
        <f t="shared" si="6"/>
        <v>0</v>
      </c>
      <c r="V9" s="206">
        <f t="shared" si="7"/>
        <v>15.49472119399498</v>
      </c>
      <c r="W9" s="218" cm="1">
        <f t="array" ref="W9">IF(Q9="", "", IF(Q9&lt;1, 0, SUM(EXP(-0.037*_xlfn.SEQUENCE(1,R9)*K9)*(2-EXP(0.00693*_xlfn.SEQUENCE(1, R9)*K9)))))</f>
        <v>9.3071557267490324</v>
      </c>
      <c r="X9" s="206">
        <f t="shared" si="8"/>
        <v>0</v>
      </c>
      <c r="Y9" s="207">
        <f t="shared" ref="Y9:Y56" si="22">IF(Q9="", "", W9+X9)</f>
        <v>9.3071557267490324</v>
      </c>
      <c r="Z9" s="218">
        <f t="shared" ref="Z9:Z56" si="23">EXP(-0.034*K9)</f>
        <v>0.93426047357721353</v>
      </c>
      <c r="AA9" s="218">
        <f t="shared" si="9"/>
        <v>0.90298006454194379</v>
      </c>
      <c r="AB9" s="207">
        <f t="shared" si="10"/>
        <v>0.85551230467810369</v>
      </c>
      <c r="AC9" s="206" cm="1">
        <f t="array" ref="AC9">IF(Q9="", "", IF(Q9&lt;1, 0, SUM(EXP(-0.01*_xlfn.SEQUENCE(1,R9)*K9)*(2-EXP(0.00693*_xlfn.SEQUENCE(1, R9)*K9))*EXP(-0.034*_xlfn.SEQUENCE(1, R9)*K9))))</f>
        <v>8.3097986148021974</v>
      </c>
      <c r="AD9" s="206">
        <f t="shared" si="11"/>
        <v>0</v>
      </c>
      <c r="AE9" s="206">
        <f t="shared" si="12"/>
        <v>8.3097986148021974</v>
      </c>
      <c r="AF9" s="218" cm="1">
        <f t="array" ref="AF9">IF(Q9="", "", IF(Q9&lt;1, 0, SUM(EXP(-0.037*_xlfn.SEQUENCE(1,R9)*K9)*(2-EXP(0.00693*_xlfn.SEQUENCE(1, R9)*K9))*EXP(-0.034*_xlfn.SEQUENCE(1, R9)*K9))))</f>
        <v>5.6972882031985819</v>
      </c>
      <c r="AG9" s="206">
        <f t="shared" si="13"/>
        <v>0</v>
      </c>
      <c r="AH9" s="207">
        <f t="shared" si="14"/>
        <v>5.6972882031985819</v>
      </c>
      <c r="AI9" s="218">
        <f t="shared" si="15"/>
        <v>0.94176453358424872</v>
      </c>
      <c r="AJ9" s="226">
        <f t="shared" si="16"/>
        <v>3</v>
      </c>
      <c r="AK9" s="226">
        <f t="shared" si="17"/>
        <v>47</v>
      </c>
      <c r="AL9" s="206" cm="1">
        <f t="array" ref="AL9">IF(AK9=0, "", SUM(EXP(-0.03*_xlfn.SEQUENCE(1,AK9, AJ9))))</f>
        <v>23.373828326646333</v>
      </c>
      <c r="AM9" s="210">
        <f t="shared" si="1"/>
        <v>170.32048804372243</v>
      </c>
      <c r="AN9" s="1">
        <f t="shared" si="18"/>
        <v>0</v>
      </c>
      <c r="AO9" s="210">
        <f t="shared" si="2"/>
        <v>4.2206958169965523</v>
      </c>
      <c r="AP9" s="210">
        <f t="shared" ref="AP9:AP58" si="24">AP8+AO9</f>
        <v>13.051620028397359</v>
      </c>
      <c r="AT9" s="210" t="str">
        <v>Y</v>
      </c>
      <c r="AU9" s="210" t="str">
        <v>Y</v>
      </c>
      <c r="AV9" s="210" t="str">
        <v>N</v>
      </c>
      <c r="AW9" s="210" t="str">
        <v>N</v>
      </c>
      <c r="AX9" s="210" t="str">
        <v>N</v>
      </c>
      <c r="AY9" s="210" t="str">
        <v>N</v>
      </c>
      <c r="AZ9" s="210" t="str">
        <v>N</v>
      </c>
      <c r="BA9" s="210" t="str">
        <v>N</v>
      </c>
      <c r="BB9" s="210" t="str">
        <v>N</v>
      </c>
      <c r="BC9" s="210" t="str">
        <v>N</v>
      </c>
      <c r="BD9" s="210" t="str">
        <v>N</v>
      </c>
      <c r="BE9" s="210" t="str">
        <v>N</v>
      </c>
      <c r="BF9" s="210" t="str">
        <v>N</v>
      </c>
      <c r="BG9" s="210" t="str">
        <v>N</v>
      </c>
      <c r="BH9" s="210" t="str">
        <v>N</v>
      </c>
      <c r="BI9" s="210" t="str">
        <v>N</v>
      </c>
      <c r="BJ9" s="210" t="str">
        <v>N</v>
      </c>
      <c r="BK9" s="210" t="str">
        <v>N</v>
      </c>
      <c r="BL9" s="210" t="str">
        <v>N</v>
      </c>
      <c r="BM9" s="210" t="str">
        <v>N</v>
      </c>
      <c r="BN9" s="210" t="str">
        <v>N</v>
      </c>
      <c r="BO9" s="210" t="str">
        <v>N</v>
      </c>
      <c r="BP9" s="210" t="str">
        <v>N</v>
      </c>
      <c r="BQ9" s="210" t="str">
        <v>N</v>
      </c>
      <c r="BR9" s="210" t="str">
        <v>N</v>
      </c>
      <c r="BS9" s="210" t="str">
        <v>N</v>
      </c>
      <c r="BT9" s="210" t="str">
        <v>N</v>
      </c>
      <c r="BU9" s="210" t="str">
        <v>N</v>
      </c>
      <c r="BV9" s="210" t="str">
        <v>N</v>
      </c>
      <c r="BW9" s="210" t="str">
        <v>N</v>
      </c>
      <c r="BX9" s="210" t="str">
        <v>N</v>
      </c>
      <c r="BY9" s="210" t="str">
        <v>N</v>
      </c>
      <c r="BZ9" s="210" t="str">
        <v>N</v>
      </c>
      <c r="CA9" s="210" t="str">
        <v>N</v>
      </c>
      <c r="CB9" s="210" t="str">
        <v>N</v>
      </c>
      <c r="CC9" s="210" t="str">
        <v>N</v>
      </c>
      <c r="CD9" s="210" t="str">
        <v>N</v>
      </c>
      <c r="CE9" s="210" t="str">
        <v>N</v>
      </c>
      <c r="CF9" s="210" t="str">
        <v>N</v>
      </c>
      <c r="CG9" s="210" t="str">
        <v>N</v>
      </c>
      <c r="CH9" s="210" t="str">
        <v>N</v>
      </c>
      <c r="CI9" s="210" t="str">
        <v>N</v>
      </c>
      <c r="CJ9" s="210" t="str">
        <v>N</v>
      </c>
      <c r="CK9" s="210" t="str">
        <v>N</v>
      </c>
      <c r="CL9" s="210" t="str">
        <v>N</v>
      </c>
      <c r="CM9" s="210" t="str">
        <v>N</v>
      </c>
      <c r="CN9" s="210" t="str">
        <v>N</v>
      </c>
      <c r="CO9" s="1" t="str">
        <v>N</v>
      </c>
      <c r="CP9" s="1" t="str">
        <v>N</v>
      </c>
      <c r="CQ9" s="1" t="str">
        <v>N</v>
      </c>
      <c r="CR9" s="1" t="str">
        <v>N</v>
      </c>
    </row>
    <row r="10" spans="2:96">
      <c r="B10" s="224" t="s">
        <v>156</v>
      </c>
      <c r="C10" s="1">
        <v>50</v>
      </c>
      <c r="D10" s="4" t="s">
        <v>157</v>
      </c>
      <c r="J10" s="1">
        <v>0</v>
      </c>
      <c r="K10" s="220">
        <v>3</v>
      </c>
      <c r="L10" s="218">
        <f t="shared" ref="L10:L56" si="25">2-EXP(0.00693*K10)</f>
        <v>0.97899238247694509</v>
      </c>
      <c r="M10" s="206">
        <f t="shared" si="19"/>
        <v>0.97044553354850815</v>
      </c>
      <c r="N10" s="206">
        <f t="shared" si="20"/>
        <v>0.89493874892903102</v>
      </c>
      <c r="O10" s="206">
        <f t="shared" si="3"/>
        <v>0.95005878495276419</v>
      </c>
      <c r="P10" s="207">
        <f t="shared" si="4"/>
        <v>0.87613821798496871</v>
      </c>
      <c r="Q10" s="218">
        <f t="shared" si="0"/>
        <v>15.666666666666668</v>
      </c>
      <c r="R10" s="206">
        <f t="shared" si="5"/>
        <v>15</v>
      </c>
      <c r="S10" s="206">
        <f t="shared" si="21"/>
        <v>0.66666666666666785</v>
      </c>
      <c r="T10" s="218" cm="1">
        <f t="array" ref="T10">IF(Q10="", "", IF(Q10&lt;1, 0, SUM(EXP(-0.01*_xlfn.SEQUENCE(1,R10)*K10)*(2-EXP(0.00693*_xlfn.SEQUENCE(1, R10)*K10)))))</f>
        <v>9.8519950056972547</v>
      </c>
      <c r="U10" s="206">
        <f t="shared" si="6"/>
        <v>0.24972235739539697</v>
      </c>
      <c r="V10" s="206">
        <f t="shared" si="7"/>
        <v>10.101717363092652</v>
      </c>
      <c r="W10" s="218" cm="1">
        <f t="array" ref="W10">IF(Q10="", "", IF(Q10&lt;1, 0, SUM(EXP(-0.037*_xlfn.SEQUENCE(1,R10)*K10)*(2-EXP(0.00693*_xlfn.SEQUENCE(1, R10)*K10)))))</f>
        <v>5.9580367409827479</v>
      </c>
      <c r="X10" s="206">
        <f t="shared" si="8"/>
        <v>6.8330056133860104E-2</v>
      </c>
      <c r="Y10" s="207">
        <f t="shared" si="22"/>
        <v>6.0263667971166077</v>
      </c>
      <c r="Z10" s="218">
        <f t="shared" si="23"/>
        <v>0.90302955166887677</v>
      </c>
      <c r="AA10" s="218">
        <f t="shared" si="9"/>
        <v>0.85793115863497249</v>
      </c>
      <c r="AB10" s="207">
        <f t="shared" si="10"/>
        <v>0.79117870218693498</v>
      </c>
      <c r="AC10" s="206" cm="1">
        <f t="array" ref="AC10">IF(Q10="", "", IF(Q10&lt;1, 0, SUM(EXP(-0.01*_xlfn.SEQUENCE(1,R10)*K10)*(2-EXP(0.00693*_xlfn.SEQUENCE(1, R10)*K10))*EXP(-0.034*_xlfn.SEQUENCE(1, R10)*K10))))</f>
        <v>5.3186216323154216</v>
      </c>
      <c r="AD10" s="206">
        <f t="shared" si="11"/>
        <v>0.24972235739539697</v>
      </c>
      <c r="AE10" s="206">
        <f t="shared" si="12"/>
        <v>5.5683439897108187</v>
      </c>
      <c r="AF10" s="218" cm="1">
        <f t="array" ref="AF10">IF(Q10="", "", IF(Q10&lt;1, 0, SUM(EXP(-0.037*_xlfn.SEQUENCE(1,R10)*K10)*(2-EXP(0.00693*_xlfn.SEQUENCE(1, R10)*K10))*EXP(-0.034*_xlfn.SEQUENCE(1, R10)*K10))))</f>
        <v>3.6253923320639774</v>
      </c>
      <c r="AG10" s="206">
        <f t="shared" si="13"/>
        <v>1.3361129798694282E-2</v>
      </c>
      <c r="AH10" s="207">
        <f t="shared" si="14"/>
        <v>3.6387534618626716</v>
      </c>
      <c r="AI10" s="218">
        <f t="shared" si="15"/>
        <v>0.91393118527122819</v>
      </c>
      <c r="AJ10" s="226">
        <f t="shared" si="16"/>
        <v>4</v>
      </c>
      <c r="AK10" s="226">
        <f t="shared" si="17"/>
        <v>46</v>
      </c>
      <c r="AL10" s="206" cm="1">
        <f t="array" ref="AL10">IF(AK10=0, "", SUM(EXP(-0.03*_xlfn.SEQUENCE(1,AK10, AJ10))))</f>
        <v>22.459897141375109</v>
      </c>
      <c r="AM10" s="210">
        <f t="shared" si="1"/>
        <v>130.98195954959721</v>
      </c>
      <c r="AN10" s="1">
        <f t="shared" si="18"/>
        <v>0.1532836567911495</v>
      </c>
      <c r="AO10" s="210">
        <f t="shared" si="2"/>
        <v>4.0959554040711756</v>
      </c>
      <c r="AP10" s="210">
        <f t="shared" si="24"/>
        <v>17.147575432468535</v>
      </c>
      <c r="AQ10" s="1">
        <f>EXP(0)</f>
        <v>1</v>
      </c>
      <c r="AT10" s="210" t="str">
        <v>Y</v>
      </c>
      <c r="AU10" s="210" t="str">
        <v>N</v>
      </c>
      <c r="AV10" s="210" t="str">
        <v>Y</v>
      </c>
      <c r="AW10" s="210" t="str">
        <v>N</v>
      </c>
      <c r="AX10" s="210" t="str">
        <v>N</v>
      </c>
      <c r="AY10" s="210" t="str">
        <v>N</v>
      </c>
      <c r="AZ10" s="210" t="str">
        <v>N</v>
      </c>
      <c r="BA10" s="210" t="str">
        <v>N</v>
      </c>
      <c r="BB10" s="210" t="str">
        <v>N</v>
      </c>
      <c r="BC10" s="210" t="str">
        <v>N</v>
      </c>
      <c r="BD10" s="210" t="str">
        <v>N</v>
      </c>
      <c r="BE10" s="210" t="str">
        <v>N</v>
      </c>
      <c r="BF10" s="210" t="str">
        <v>N</v>
      </c>
      <c r="BG10" s="210" t="str">
        <v>N</v>
      </c>
      <c r="BH10" s="210" t="str">
        <v>N</v>
      </c>
      <c r="BI10" s="210" t="str">
        <v>N</v>
      </c>
      <c r="BJ10" s="210" t="str">
        <v>N</v>
      </c>
      <c r="BK10" s="210" t="str">
        <v>N</v>
      </c>
      <c r="BL10" s="210" t="str">
        <v>N</v>
      </c>
      <c r="BM10" s="210" t="str">
        <v>N</v>
      </c>
      <c r="BN10" s="210" t="str">
        <v>N</v>
      </c>
      <c r="BO10" s="210" t="str">
        <v>N</v>
      </c>
      <c r="BP10" s="210" t="str">
        <v>N</v>
      </c>
      <c r="BQ10" s="210" t="str">
        <v>N</v>
      </c>
      <c r="BR10" s="210" t="str">
        <v>N</v>
      </c>
      <c r="BS10" s="210" t="str">
        <v>N</v>
      </c>
      <c r="BT10" s="210" t="str">
        <v>N</v>
      </c>
      <c r="BU10" s="210" t="str">
        <v>N</v>
      </c>
      <c r="BV10" s="210" t="str">
        <v>N</v>
      </c>
      <c r="BW10" s="210" t="str">
        <v>N</v>
      </c>
      <c r="BX10" s="210" t="str">
        <v>N</v>
      </c>
      <c r="BY10" s="210" t="str">
        <v>N</v>
      </c>
      <c r="BZ10" s="210" t="str">
        <v>N</v>
      </c>
      <c r="CA10" s="210" t="str">
        <v>N</v>
      </c>
      <c r="CB10" s="210" t="str">
        <v>N</v>
      </c>
      <c r="CC10" s="210" t="str">
        <v>N</v>
      </c>
      <c r="CD10" s="210" t="str">
        <v>N</v>
      </c>
      <c r="CE10" s="210" t="str">
        <v>N</v>
      </c>
      <c r="CF10" s="210" t="str">
        <v>N</v>
      </c>
      <c r="CG10" s="210" t="str">
        <v>N</v>
      </c>
      <c r="CH10" s="210" t="str">
        <v>N</v>
      </c>
      <c r="CI10" s="210" t="str">
        <v>N</v>
      </c>
      <c r="CJ10" s="210" t="str">
        <v>N</v>
      </c>
      <c r="CK10" s="210" t="str">
        <v>N</v>
      </c>
      <c r="CL10" s="210" t="str">
        <v>N</v>
      </c>
      <c r="CM10" s="210" t="str">
        <v>N</v>
      </c>
      <c r="CN10" s="210" t="str">
        <v>N</v>
      </c>
      <c r="CO10" s="1" t="str">
        <v>N</v>
      </c>
      <c r="CP10" s="1" t="str">
        <v>N</v>
      </c>
      <c r="CQ10" s="1" t="str">
        <v>N</v>
      </c>
      <c r="CR10" s="1" t="str">
        <v>N</v>
      </c>
    </row>
    <row r="11" spans="2:96" ht="17.100000000000001">
      <c r="B11" s="224" t="s">
        <v>158</v>
      </c>
      <c r="C11" s="1">
        <v>0.16600000000000001</v>
      </c>
      <c r="D11" s="4" t="s">
        <v>586</v>
      </c>
      <c r="J11" s="1">
        <v>0</v>
      </c>
      <c r="K11" s="220">
        <v>4</v>
      </c>
      <c r="L11" s="218">
        <f t="shared" si="25"/>
        <v>0.97189222606086445</v>
      </c>
      <c r="M11" s="206">
        <f t="shared" si="19"/>
        <v>0.96078943915232318</v>
      </c>
      <c r="N11" s="206">
        <f t="shared" si="20"/>
        <v>0.8624311149420455</v>
      </c>
      <c r="O11" s="206">
        <f t="shared" si="3"/>
        <v>0.93378378679352081</v>
      </c>
      <c r="P11" s="207">
        <f t="shared" si="4"/>
        <v>0.83819009612517781</v>
      </c>
      <c r="Q11" s="218">
        <f t="shared" si="0"/>
        <v>11.5</v>
      </c>
      <c r="R11" s="206">
        <f t="shared" si="5"/>
        <v>11</v>
      </c>
      <c r="S11" s="206">
        <f t="shared" si="21"/>
        <v>0.5</v>
      </c>
      <c r="T11" s="218" cm="1">
        <f t="array" ref="T11">IF(Q11="", "", IF(Q11&lt;1, 0, SUM(EXP(-0.01*_xlfn.SEQUENCE(1,R11)*K11)*(2-EXP(0.00693*_xlfn.SEQUENCE(1, R11)*K11)))))</f>
        <v>7.2182238044079234</v>
      </c>
      <c r="U11" s="206">
        <f t="shared" si="6"/>
        <v>0.1872917680465474</v>
      </c>
      <c r="V11" s="206">
        <f t="shared" si="7"/>
        <v>7.4055155724544708</v>
      </c>
      <c r="W11" s="218" cm="1">
        <f t="array" ref="W11">IF(Q11="", "", IF(Q11&lt;1, 0, SUM(EXP(-0.037*_xlfn.SEQUENCE(1,R11)*K11)*(2-EXP(0.00693*_xlfn.SEQUENCE(1, R11)*K11)))))</f>
        <v>4.3363265914253493</v>
      </c>
      <c r="X11" s="206">
        <f t="shared" si="8"/>
        <v>5.1247542100394984E-2</v>
      </c>
      <c r="Y11" s="207">
        <f t="shared" si="22"/>
        <v>4.3875741335257441</v>
      </c>
      <c r="Z11" s="218">
        <f t="shared" si="23"/>
        <v>0.87284263248871929</v>
      </c>
      <c r="AA11" s="218">
        <f t="shared" si="9"/>
        <v>0.81504629864014166</v>
      </c>
      <c r="AB11" s="207">
        <f t="shared" si="10"/>
        <v>0.73160805002787288</v>
      </c>
      <c r="AC11" s="206" cm="1">
        <f t="array" ref="AC11">IF(Q11="", "", IF(Q11&lt;1, 0, SUM(EXP(-0.01*_xlfn.SEQUENCE(1,R11)*K11)*(2-EXP(0.00693*_xlfn.SEQUENCE(1, R11)*K11))*EXP(-0.034*_xlfn.SEQUENCE(1, R11)*K11))))</f>
        <v>3.8615907962496814</v>
      </c>
      <c r="AD11" s="206">
        <f t="shared" si="11"/>
        <v>0.1872917680465474</v>
      </c>
      <c r="AE11" s="206">
        <f t="shared" si="12"/>
        <v>4.0488825642962292</v>
      </c>
      <c r="AF11" s="218" cm="1">
        <f t="array" ref="AF11">IF(Q11="", "", IF(Q11&lt;1, 0, SUM(EXP(-0.037*_xlfn.SEQUENCE(1,R11)*K11)*(2-EXP(0.00693*_xlfn.SEQUENCE(1, R11)*K11))*EXP(-0.034*_xlfn.SEQUENCE(1, R11)*K11))))</f>
        <v>2.6026229057554882</v>
      </c>
      <c r="AG11" s="206">
        <f t="shared" si="13"/>
        <v>1.0020847349020694E-2</v>
      </c>
      <c r="AH11" s="207">
        <f t="shared" si="14"/>
        <v>2.6126437531045088</v>
      </c>
      <c r="AI11" s="218">
        <f t="shared" si="15"/>
        <v>0.88692043671715748</v>
      </c>
      <c r="AJ11" s="226">
        <f t="shared" si="16"/>
        <v>5</v>
      </c>
      <c r="AK11" s="226">
        <f t="shared" si="17"/>
        <v>45</v>
      </c>
      <c r="AL11" s="206" cm="1">
        <f t="array" ref="AL11">IF(AK11=0, "", SUM(EXP(-0.03*_xlfn.SEQUENCE(1,AK11, AJ11))))</f>
        <v>21.572976704657954</v>
      </c>
      <c r="AM11" s="210">
        <f t="shared" si="1"/>
        <v>107.63650404598157</v>
      </c>
      <c r="AN11" s="1">
        <f t="shared" si="18"/>
        <v>0</v>
      </c>
      <c r="AO11" s="210">
        <f t="shared" si="2"/>
        <v>3.9749016274947477</v>
      </c>
      <c r="AP11" s="210">
        <f t="shared" si="24"/>
        <v>21.122477059963284</v>
      </c>
      <c r="AT11" s="210" t="str">
        <v>Y</v>
      </c>
      <c r="AU11" s="210" t="str">
        <v>Y</v>
      </c>
      <c r="AV11" s="210" t="str">
        <v>N</v>
      </c>
      <c r="AW11" s="210" t="str">
        <v>Y</v>
      </c>
      <c r="AX11" s="210" t="str">
        <v>N</v>
      </c>
      <c r="AY11" s="210" t="str">
        <v>N</v>
      </c>
      <c r="AZ11" s="210" t="str">
        <v>N</v>
      </c>
      <c r="BA11" s="210" t="str">
        <v>N</v>
      </c>
      <c r="BB11" s="210" t="str">
        <v>N</v>
      </c>
      <c r="BC11" s="210" t="str">
        <v>N</v>
      </c>
      <c r="BD11" s="210" t="str">
        <v>N</v>
      </c>
      <c r="BE11" s="210" t="str">
        <v>N</v>
      </c>
      <c r="BF11" s="210" t="str">
        <v>N</v>
      </c>
      <c r="BG11" s="210" t="str">
        <v>N</v>
      </c>
      <c r="BH11" s="210" t="str">
        <v>N</v>
      </c>
      <c r="BI11" s="210" t="str">
        <v>N</v>
      </c>
      <c r="BJ11" s="210" t="str">
        <v>N</v>
      </c>
      <c r="BK11" s="210" t="str">
        <v>N</v>
      </c>
      <c r="BL11" s="210" t="str">
        <v>N</v>
      </c>
      <c r="BM11" s="210" t="str">
        <v>N</v>
      </c>
      <c r="BN11" s="210" t="str">
        <v>N</v>
      </c>
      <c r="BO11" s="210" t="str">
        <v>N</v>
      </c>
      <c r="BP11" s="210" t="str">
        <v>N</v>
      </c>
      <c r="BQ11" s="210" t="str">
        <v>N</v>
      </c>
      <c r="BR11" s="210" t="str">
        <v>N</v>
      </c>
      <c r="BS11" s="210" t="str">
        <v>N</v>
      </c>
      <c r="BT11" s="210" t="str">
        <v>N</v>
      </c>
      <c r="BU11" s="210" t="str">
        <v>N</v>
      </c>
      <c r="BV11" s="210" t="str">
        <v>N</v>
      </c>
      <c r="BW11" s="210" t="str">
        <v>N</v>
      </c>
      <c r="BX11" s="210" t="str">
        <v>N</v>
      </c>
      <c r="BY11" s="210" t="str">
        <v>N</v>
      </c>
      <c r="BZ11" s="210" t="str">
        <v>N</v>
      </c>
      <c r="CA11" s="210" t="str">
        <v>N</v>
      </c>
      <c r="CB11" s="210" t="str">
        <v>N</v>
      </c>
      <c r="CC11" s="210" t="str">
        <v>N</v>
      </c>
      <c r="CD11" s="210" t="str">
        <v>N</v>
      </c>
      <c r="CE11" s="210" t="str">
        <v>N</v>
      </c>
      <c r="CF11" s="210" t="str">
        <v>N</v>
      </c>
      <c r="CG11" s="210" t="str">
        <v>N</v>
      </c>
      <c r="CH11" s="210" t="str">
        <v>N</v>
      </c>
      <c r="CI11" s="210" t="str">
        <v>N</v>
      </c>
      <c r="CJ11" s="210" t="str">
        <v>N</v>
      </c>
      <c r="CK11" s="210" t="str">
        <v>N</v>
      </c>
      <c r="CL11" s="210" t="str">
        <v>N</v>
      </c>
      <c r="CM11" s="210" t="str">
        <v>N</v>
      </c>
      <c r="CN11" s="210" t="str">
        <v>N</v>
      </c>
      <c r="CO11" s="1" t="str">
        <v>N</v>
      </c>
      <c r="CP11" s="1" t="str">
        <v>N</v>
      </c>
      <c r="CQ11" s="1" t="str">
        <v>N</v>
      </c>
      <c r="CR11" s="1" t="str">
        <v>N</v>
      </c>
    </row>
    <row r="12" spans="2:96" ht="17.100000000000001">
      <c r="B12" s="224" t="s">
        <v>587</v>
      </c>
      <c r="C12" s="225">
        <f>IF(Transport_avstand_til_avfallshåndtering_prosjekt_spesifik=0, Transport_avstand_til_avfallshåndtering, Transport_avstand_til_avfallshåndtering_prosjekt_spesifik)*(IF(Transport_utslippsfaktor_til_avfallshåndtering_prosjekt_spesifik=0, Transport_utslippsfaktor_til_avfallshåndtering, Transport_utslippsfaktor_til_avfallshåndtering_prosjekt_spesifik)/1000)</f>
        <v>8.3000000000000001E-3</v>
      </c>
      <c r="D12" s="4" t="s">
        <v>588</v>
      </c>
      <c r="J12" s="1">
        <v>0</v>
      </c>
      <c r="K12" s="220">
        <v>5</v>
      </c>
      <c r="L12" s="218">
        <f t="shared" si="25"/>
        <v>0.96474269467414908</v>
      </c>
      <c r="M12" s="206">
        <f t="shared" si="19"/>
        <v>0.95122942450071402</v>
      </c>
      <c r="N12" s="206">
        <f t="shared" si="20"/>
        <v>0.83110428385212565</v>
      </c>
      <c r="O12" s="206">
        <f t="shared" si="3"/>
        <v>0.91769163824615885</v>
      </c>
      <c r="P12" s="207">
        <f t="shared" si="4"/>
        <v>0.80180178635872856</v>
      </c>
      <c r="Q12" s="218">
        <f t="shared" si="0"/>
        <v>9</v>
      </c>
      <c r="R12" s="206">
        <f t="shared" si="5"/>
        <v>9</v>
      </c>
      <c r="S12" s="206">
        <f t="shared" si="21"/>
        <v>0</v>
      </c>
      <c r="T12" s="218" cm="1">
        <f t="array" ref="T12">IF(Q12="", "", IF(Q12&lt;1, 0, SUM(EXP(-0.01*_xlfn.SEQUENCE(1,R12)*K12)*(2-EXP(0.00693*_xlfn.SEQUENCE(1, R12)*K12)))))</f>
        <v>5.7938815634640219</v>
      </c>
      <c r="U12" s="206">
        <f t="shared" si="6"/>
        <v>0</v>
      </c>
      <c r="V12" s="206">
        <f t="shared" si="7"/>
        <v>5.7938815634640219</v>
      </c>
      <c r="W12" s="218" cm="1">
        <f t="array" ref="W12">IF(Q12="", "", IF(Q12&lt;1, 0, SUM(EXP(-0.037*_xlfn.SEQUENCE(1,R12)*K12)*(2-EXP(0.00693*_xlfn.SEQUENCE(1, R12)*K12)))))</f>
        <v>3.4088574917309962</v>
      </c>
      <c r="X12" s="206">
        <f t="shared" si="8"/>
        <v>0</v>
      </c>
      <c r="Y12" s="207">
        <f t="shared" si="22"/>
        <v>3.4088574917309962</v>
      </c>
      <c r="Z12" s="218">
        <f t="shared" si="23"/>
        <v>0.8436648165963837</v>
      </c>
      <c r="AA12" s="218">
        <f t="shared" si="9"/>
        <v>0.77422414767298053</v>
      </c>
      <c r="AB12" s="207">
        <f t="shared" si="10"/>
        <v>0.67645195703498961</v>
      </c>
      <c r="AC12" s="206" cm="1">
        <f t="array" ref="AC12">IF(Q12="", "", IF(Q12&lt;1, 0, SUM(EXP(-0.01*_xlfn.SEQUENCE(1,R12)*K12)*(2-EXP(0.00693*_xlfn.SEQUENCE(1, R12)*K12))*EXP(-0.034*_xlfn.SEQUENCE(1, R12)*K12))))</f>
        <v>3.0208712630858425</v>
      </c>
      <c r="AD12" s="206">
        <f t="shared" si="11"/>
        <v>0</v>
      </c>
      <c r="AE12" s="206">
        <f t="shared" si="12"/>
        <v>3.0208712630858425</v>
      </c>
      <c r="AF12" s="218" cm="1">
        <f t="array" ref="AF12">IF(Q12="", "", IF(Q12&lt;1, 0, SUM(EXP(-0.037*_xlfn.SEQUENCE(1,R12)*K12)*(2-EXP(0.00693*_xlfn.SEQUENCE(1, R12)*K12))*EXP(-0.034*_xlfn.SEQUENCE(1, R12)*K12))))</f>
        <v>2.0005505198041575</v>
      </c>
      <c r="AG12" s="206">
        <f t="shared" si="13"/>
        <v>0</v>
      </c>
      <c r="AH12" s="207">
        <f t="shared" si="14"/>
        <v>2.0005505198041575</v>
      </c>
      <c r="AI12" s="218">
        <f t="shared" si="15"/>
        <v>0.86070797642505781</v>
      </c>
      <c r="AJ12" s="226">
        <f t="shared" si="16"/>
        <v>6</v>
      </c>
      <c r="AK12" s="226">
        <f t="shared" si="17"/>
        <v>44</v>
      </c>
      <c r="AL12" s="206" cm="1">
        <f t="array" ref="AL12">IF(AK12=0, "", SUM(EXP(-0.03*_xlfn.SEQUENCE(1,AK12, AJ12))))</f>
        <v>20.712268728232893</v>
      </c>
      <c r="AM12" s="210">
        <f t="shared" si="1"/>
        <v>91.705963403365956</v>
      </c>
      <c r="AN12" s="1">
        <f t="shared" si="18"/>
        <v>0</v>
      </c>
      <c r="AO12" s="210">
        <f t="shared" si="2"/>
        <v>3.857425530696974</v>
      </c>
      <c r="AP12" s="210">
        <f t="shared" si="24"/>
        <v>24.979902590660259</v>
      </c>
      <c r="AT12" s="210" t="str">
        <v>Y</v>
      </c>
      <c r="AU12" s="210" t="str">
        <v>N</v>
      </c>
      <c r="AV12" s="210" t="str">
        <v>N</v>
      </c>
      <c r="AW12" s="210" t="str">
        <v>N</v>
      </c>
      <c r="AX12" s="210" t="str">
        <v>Y</v>
      </c>
      <c r="AY12" s="210" t="str">
        <v>N</v>
      </c>
      <c r="AZ12" s="210" t="str">
        <v>N</v>
      </c>
      <c r="BA12" s="210" t="str">
        <v>N</v>
      </c>
      <c r="BB12" s="210" t="str">
        <v>N</v>
      </c>
      <c r="BC12" s="210" t="str">
        <v>N</v>
      </c>
      <c r="BD12" s="210" t="str">
        <v>N</v>
      </c>
      <c r="BE12" s="210" t="str">
        <v>N</v>
      </c>
      <c r="BF12" s="210" t="str">
        <v>N</v>
      </c>
      <c r="BG12" s="210" t="str">
        <v>N</v>
      </c>
      <c r="BH12" s="210" t="str">
        <v>N</v>
      </c>
      <c r="BI12" s="210" t="str">
        <v>N</v>
      </c>
      <c r="BJ12" s="210" t="str">
        <v>N</v>
      </c>
      <c r="BK12" s="210" t="str">
        <v>N</v>
      </c>
      <c r="BL12" s="210" t="str">
        <v>N</v>
      </c>
      <c r="BM12" s="210" t="str">
        <v>N</v>
      </c>
      <c r="BN12" s="210" t="str">
        <v>N</v>
      </c>
      <c r="BO12" s="210" t="str">
        <v>N</v>
      </c>
      <c r="BP12" s="210" t="str">
        <v>N</v>
      </c>
      <c r="BQ12" s="210" t="str">
        <v>N</v>
      </c>
      <c r="BR12" s="210" t="str">
        <v>N</v>
      </c>
      <c r="BS12" s="210" t="str">
        <v>N</v>
      </c>
      <c r="BT12" s="210" t="str">
        <v>N</v>
      </c>
      <c r="BU12" s="210" t="str">
        <v>N</v>
      </c>
      <c r="BV12" s="210" t="str">
        <v>N</v>
      </c>
      <c r="BW12" s="210" t="str">
        <v>N</v>
      </c>
      <c r="BX12" s="210" t="str">
        <v>N</v>
      </c>
      <c r="BY12" s="210" t="str">
        <v>N</v>
      </c>
      <c r="BZ12" s="210" t="str">
        <v>N</v>
      </c>
      <c r="CA12" s="210" t="str">
        <v>N</v>
      </c>
      <c r="CB12" s="210" t="str">
        <v>N</v>
      </c>
      <c r="CC12" s="210" t="str">
        <v>N</v>
      </c>
      <c r="CD12" s="210" t="str">
        <v>N</v>
      </c>
      <c r="CE12" s="210" t="str">
        <v>N</v>
      </c>
      <c r="CF12" s="210" t="str">
        <v>N</v>
      </c>
      <c r="CG12" s="210" t="str">
        <v>N</v>
      </c>
      <c r="CH12" s="210" t="str">
        <v>N</v>
      </c>
      <c r="CI12" s="210" t="str">
        <v>N</v>
      </c>
      <c r="CJ12" s="210" t="str">
        <v>N</v>
      </c>
      <c r="CK12" s="210" t="str">
        <v>N</v>
      </c>
      <c r="CL12" s="210" t="str">
        <v>N</v>
      </c>
      <c r="CM12" s="210" t="str">
        <v>N</v>
      </c>
      <c r="CN12" s="210" t="str">
        <v>N</v>
      </c>
      <c r="CO12" s="1" t="str">
        <v>N</v>
      </c>
      <c r="CP12" s="1" t="str">
        <v>N</v>
      </c>
      <c r="CQ12" s="1" t="str">
        <v>N</v>
      </c>
      <c r="CR12" s="1" t="str">
        <v>N</v>
      </c>
    </row>
    <row r="13" spans="2:96" ht="17.100000000000001">
      <c r="B13" s="224" t="s">
        <v>589</v>
      </c>
      <c r="D13" s="4" t="s">
        <v>588</v>
      </c>
      <c r="J13" s="1">
        <v>0</v>
      </c>
      <c r="K13" s="220">
        <v>6</v>
      </c>
      <c r="L13" s="218">
        <f t="shared" si="25"/>
        <v>0.95754344495989541</v>
      </c>
      <c r="M13" s="206">
        <f t="shared" si="19"/>
        <v>0.94176453358424872</v>
      </c>
      <c r="N13" s="206">
        <f t="shared" si="20"/>
        <v>0.80091536433465915</v>
      </c>
      <c r="O13" s="206">
        <f t="shared" si="3"/>
        <v>0.90178045582931066</v>
      </c>
      <c r="P13" s="207">
        <f t="shared" si="4"/>
        <v>0.76691125708631924</v>
      </c>
      <c r="Q13" s="218">
        <f t="shared" si="0"/>
        <v>7.3333333333333339</v>
      </c>
      <c r="R13" s="206">
        <f t="shared" si="5"/>
        <v>7</v>
      </c>
      <c r="S13" s="206">
        <f t="shared" si="21"/>
        <v>0.33333333333333393</v>
      </c>
      <c r="T13" s="218" cm="1">
        <f t="array" ref="T13">IF(Q13="", "", IF(Q13&lt;1, 0, SUM(EXP(-0.01*_xlfn.SEQUENCE(1,R13)*K13)*(2-EXP(0.00693*_xlfn.SEQUENCE(1, R13)*K13)))))</f>
        <v>4.5850527895504758</v>
      </c>
      <c r="U13" s="206">
        <f t="shared" si="6"/>
        <v>0.12486117869769849</v>
      </c>
      <c r="V13" s="206">
        <f t="shared" si="7"/>
        <v>4.7099139682481743</v>
      </c>
      <c r="W13" s="218" cm="1">
        <f t="array" ref="W13">IF(Q13="", "", IF(Q13&lt;1, 0, SUM(EXP(-0.037*_xlfn.SEQUENCE(1,R13)*K13)*(2-EXP(0.00693*_xlfn.SEQUENCE(1, R13)*K13)))))</f>
        <v>2.7178147769950525</v>
      </c>
      <c r="X13" s="206">
        <f t="shared" si="8"/>
        <v>3.4165028066930052E-2</v>
      </c>
      <c r="Y13" s="207">
        <f t="shared" si="22"/>
        <v>2.7519798050619824</v>
      </c>
      <c r="Z13" s="218">
        <f t="shared" si="23"/>
        <v>0.8154623711872927</v>
      </c>
      <c r="AA13" s="218">
        <f t="shared" si="9"/>
        <v>0.73536802880092733</v>
      </c>
      <c r="AB13" s="207">
        <f t="shared" si="10"/>
        <v>0.62538727219383727</v>
      </c>
      <c r="AC13" s="206" cm="1">
        <f t="array" ref="AC13">IF(Q13="", "", IF(Q13&lt;1, 0, SUM(EXP(-0.01*_xlfn.SEQUENCE(1,R13)*K13)*(2-EXP(0.00693*_xlfn.SEQUENCE(1, R13)*K13))*EXP(-0.034*_xlfn.SEQUENCE(1, R13)*K13))))</f>
        <v>2.408420999679914</v>
      </c>
      <c r="AD13" s="206">
        <f t="shared" si="11"/>
        <v>0.12486117869769849</v>
      </c>
      <c r="AE13" s="206">
        <f t="shared" si="12"/>
        <v>2.5332821783776125</v>
      </c>
      <c r="AF13" s="218" cm="1">
        <f t="array" ref="AF13">IF(Q13="", "", IF(Q13&lt;1, 0, SUM(EXP(-0.037*_xlfn.SEQUENCE(1,R13)*K13)*(2-EXP(0.00693*_xlfn.SEQUENCE(1, R13)*K13))*EXP(-0.034*_xlfn.SEQUENCE(1, R13)*K13))))</f>
        <v>1.5861324047246357</v>
      </c>
      <c r="AG13" s="206">
        <f t="shared" si="13"/>
        <v>6.680564899347141E-3</v>
      </c>
      <c r="AH13" s="207">
        <f t="shared" si="14"/>
        <v>1.5928129696239828</v>
      </c>
      <c r="AI13" s="218">
        <f t="shared" si="15"/>
        <v>0.835270211411272</v>
      </c>
      <c r="AJ13" s="226">
        <f t="shared" si="16"/>
        <v>7</v>
      </c>
      <c r="AK13" s="226">
        <f t="shared" si="17"/>
        <v>43</v>
      </c>
      <c r="AL13" s="206" cm="1">
        <f t="array" ref="AL13">IF(AK13=0, "", SUM(EXP(-0.03*_xlfn.SEQUENCE(1,AK13, AJ13))))</f>
        <v>19.876998516821622</v>
      </c>
      <c r="AM13" s="210">
        <f t="shared" si="1"/>
        <v>80.646342290897493</v>
      </c>
      <c r="AN13" s="1">
        <f t="shared" si="18"/>
        <v>0</v>
      </c>
      <c r="AO13" s="210">
        <f t="shared" si="2"/>
        <v>3.7434213772608618</v>
      </c>
      <c r="AP13" s="210">
        <f t="shared" si="24"/>
        <v>28.723323967921122</v>
      </c>
      <c r="AT13" s="210" t="str">
        <v>Y</v>
      </c>
      <c r="AU13" s="210" t="str">
        <v>Y</v>
      </c>
      <c r="AV13" s="210" t="str">
        <v>Y</v>
      </c>
      <c r="AW13" s="210" t="str">
        <v>N</v>
      </c>
      <c r="AX13" s="210" t="str">
        <v>N</v>
      </c>
      <c r="AY13" s="210" t="str">
        <v>Y</v>
      </c>
      <c r="AZ13" s="210" t="str">
        <v>N</v>
      </c>
      <c r="BA13" s="210" t="str">
        <v>N</v>
      </c>
      <c r="BB13" s="210" t="str">
        <v>N</v>
      </c>
      <c r="BC13" s="210" t="str">
        <v>N</v>
      </c>
      <c r="BD13" s="210" t="str">
        <v>N</v>
      </c>
      <c r="BE13" s="210" t="str">
        <v>N</v>
      </c>
      <c r="BF13" s="210" t="str">
        <v>N</v>
      </c>
      <c r="BG13" s="210" t="str">
        <v>N</v>
      </c>
      <c r="BH13" s="210" t="str">
        <v>N</v>
      </c>
      <c r="BI13" s="210" t="str">
        <v>N</v>
      </c>
      <c r="BJ13" s="210" t="str">
        <v>N</v>
      </c>
      <c r="BK13" s="210" t="str">
        <v>N</v>
      </c>
      <c r="BL13" s="210" t="str">
        <v>N</v>
      </c>
      <c r="BM13" s="210" t="str">
        <v>N</v>
      </c>
      <c r="BN13" s="210" t="str">
        <v>N</v>
      </c>
      <c r="BO13" s="210" t="str">
        <v>N</v>
      </c>
      <c r="BP13" s="210" t="str">
        <v>N</v>
      </c>
      <c r="BQ13" s="210" t="str">
        <v>N</v>
      </c>
      <c r="BR13" s="210" t="str">
        <v>N</v>
      </c>
      <c r="BS13" s="210" t="str">
        <v>N</v>
      </c>
      <c r="BT13" s="210" t="str">
        <v>N</v>
      </c>
      <c r="BU13" s="210" t="str">
        <v>N</v>
      </c>
      <c r="BV13" s="210" t="str">
        <v>N</v>
      </c>
      <c r="BW13" s="210" t="str">
        <v>N</v>
      </c>
      <c r="BX13" s="210" t="str">
        <v>N</v>
      </c>
      <c r="BY13" s="210" t="str">
        <v>N</v>
      </c>
      <c r="BZ13" s="210" t="str">
        <v>N</v>
      </c>
      <c r="CA13" s="210" t="str">
        <v>N</v>
      </c>
      <c r="CB13" s="210" t="str">
        <v>N</v>
      </c>
      <c r="CC13" s="210" t="str">
        <v>N</v>
      </c>
      <c r="CD13" s="210" t="str">
        <v>N</v>
      </c>
      <c r="CE13" s="210" t="str">
        <v>N</v>
      </c>
      <c r="CF13" s="210" t="str">
        <v>N</v>
      </c>
      <c r="CG13" s="210" t="str">
        <v>N</v>
      </c>
      <c r="CH13" s="210" t="str">
        <v>N</v>
      </c>
      <c r="CI13" s="210" t="str">
        <v>N</v>
      </c>
      <c r="CJ13" s="210" t="str">
        <v>N</v>
      </c>
      <c r="CK13" s="210" t="str">
        <v>N</v>
      </c>
      <c r="CL13" s="210" t="str">
        <v>N</v>
      </c>
      <c r="CM13" s="210" t="str">
        <v>N</v>
      </c>
      <c r="CN13" s="210" t="str">
        <v>N</v>
      </c>
      <c r="CO13" s="1" t="str">
        <v>N</v>
      </c>
      <c r="CP13" s="1" t="str">
        <v>N</v>
      </c>
      <c r="CQ13" s="1" t="str">
        <v>N</v>
      </c>
      <c r="CR13" s="1" t="str">
        <v>N</v>
      </c>
    </row>
    <row r="14" spans="2:96">
      <c r="B14" s="497"/>
      <c r="C14" s="498"/>
      <c r="D14" s="499"/>
      <c r="J14" s="1">
        <v>0</v>
      </c>
      <c r="K14" s="220">
        <v>7</v>
      </c>
      <c r="L14" s="218">
        <f t="shared" si="25"/>
        <v>0.95029413117347183</v>
      </c>
      <c r="M14" s="206">
        <f t="shared" si="19"/>
        <v>0.93239381990594827</v>
      </c>
      <c r="N14" s="206">
        <f t="shared" si="20"/>
        <v>0.77182302304370343</v>
      </c>
      <c r="O14" s="206">
        <f t="shared" si="3"/>
        <v>0.88604837499903766</v>
      </c>
      <c r="P14" s="207">
        <f t="shared" si="4"/>
        <v>0.73345888910299872</v>
      </c>
      <c r="Q14" s="218">
        <f t="shared" si="0"/>
        <v>6.1428571428571432</v>
      </c>
      <c r="R14" s="206">
        <f t="shared" si="5"/>
        <v>6</v>
      </c>
      <c r="S14" s="206">
        <f t="shared" si="21"/>
        <v>0.14285714285714324</v>
      </c>
      <c r="T14" s="218" cm="1">
        <f t="array" ref="T14">IF(Q14="", "", IF(Q14&lt;1, 0, SUM(EXP(-0.01*_xlfn.SEQUENCE(1,R14)*K14)*(2-EXP(0.00693*_xlfn.SEQUENCE(1, R14)*K14)))))</f>
        <v>3.8906967817735016</v>
      </c>
      <c r="U14" s="206">
        <f t="shared" si="6"/>
        <v>5.2130690973227103E-2</v>
      </c>
      <c r="V14" s="206">
        <f t="shared" si="7"/>
        <v>3.9428274727467287</v>
      </c>
      <c r="W14" s="218" cm="1">
        <f t="array" ref="W14">IF(Q14="", "", IF(Q14&lt;1, 0, SUM(EXP(-0.037*_xlfn.SEQUENCE(1,R14)*K14)*(2-EXP(0.00693*_xlfn.SEQUENCE(1, R14)*K14)))))</f>
        <v>2.273806129103999</v>
      </c>
      <c r="X14" s="206">
        <f t="shared" si="8"/>
        <v>1.3884232635342631E-2</v>
      </c>
      <c r="Y14" s="207">
        <f t="shared" si="22"/>
        <v>2.2876903617393416</v>
      </c>
      <c r="Z14" s="218">
        <f t="shared" si="23"/>
        <v>0.78820269109377039</v>
      </c>
      <c r="AA14" s="218">
        <f t="shared" si="9"/>
        <v>0.69838571361350366</v>
      </c>
      <c r="AB14" s="207">
        <f t="shared" si="10"/>
        <v>0.57811427019763084</v>
      </c>
      <c r="AC14" s="206" cm="1">
        <f t="array" ref="AC14">IF(Q14="", "", IF(Q14&lt;1, 0, SUM(EXP(-0.01*_xlfn.SEQUENCE(1,R14)*K14)*(2-EXP(0.00693*_xlfn.SEQUENCE(1, R14)*K14))*EXP(-0.034*_xlfn.SEQUENCE(1, R14)*K14))))</f>
        <v>2.0073069760837403</v>
      </c>
      <c r="AD14" s="206">
        <f t="shared" si="11"/>
        <v>5.2130690973227103E-2</v>
      </c>
      <c r="AE14" s="206">
        <f t="shared" si="12"/>
        <v>2.0594376670569674</v>
      </c>
      <c r="AF14" s="218" cm="1">
        <f t="array" ref="AF14">IF(Q14="", "", IF(Q14&lt;1, 0, SUM(EXP(-0.037*_xlfn.SEQUENCE(1,R14)*K14)*(2-EXP(0.00693*_xlfn.SEQUENCE(1, R14)*K14))*EXP(-0.034*_xlfn.SEQUENCE(1, R14)*K14))))</f>
        <v>1.3020356399607773</v>
      </c>
      <c r="AG14" s="206">
        <f t="shared" si="13"/>
        <v>2.6241416536933937E-3</v>
      </c>
      <c r="AH14" s="207">
        <f t="shared" si="14"/>
        <v>1.3046597816144707</v>
      </c>
      <c r="AI14" s="218">
        <f t="shared" si="15"/>
        <v>0.81058424597018708</v>
      </c>
      <c r="AJ14" s="226">
        <f t="shared" si="16"/>
        <v>8</v>
      </c>
      <c r="AK14" s="226">
        <f t="shared" si="17"/>
        <v>42</v>
      </c>
      <c r="AL14" s="206" cm="1">
        <f t="array" ref="AL14">IF(AK14=0, "", SUM(EXP(-0.03*_xlfn.SEQUENCE(1,AK14, AJ14))))</f>
        <v>19.066414270851439</v>
      </c>
      <c r="AM14" s="210">
        <f t="shared" si="1"/>
        <v>72.130399334052683</v>
      </c>
      <c r="AN14" s="1">
        <f t="shared" si="18"/>
        <v>3.2846497883817778E-2</v>
      </c>
      <c r="AO14" s="210">
        <f t="shared" si="2"/>
        <v>3.6327865557528094</v>
      </c>
      <c r="AP14" s="210">
        <f t="shared" si="24"/>
        <v>32.356110523673934</v>
      </c>
      <c r="AT14" s="210" t="str">
        <v>Y</v>
      </c>
      <c r="AU14" s="210" t="str">
        <v>N</v>
      </c>
      <c r="AV14" s="210" t="str">
        <v>N</v>
      </c>
      <c r="AW14" s="210" t="str">
        <v>N</v>
      </c>
      <c r="AX14" s="210" t="str">
        <v>N</v>
      </c>
      <c r="AY14" s="210" t="str">
        <v>N</v>
      </c>
      <c r="AZ14" s="210" t="str">
        <v>Y</v>
      </c>
      <c r="BA14" s="210" t="str">
        <v>N</v>
      </c>
      <c r="BB14" s="210" t="str">
        <v>N</v>
      </c>
      <c r="BC14" s="210" t="str">
        <v>N</v>
      </c>
      <c r="BD14" s="210" t="str">
        <v>N</v>
      </c>
      <c r="BE14" s="210" t="str">
        <v>N</v>
      </c>
      <c r="BF14" s="210" t="str">
        <v>N</v>
      </c>
      <c r="BG14" s="210" t="str">
        <v>N</v>
      </c>
      <c r="BH14" s="210" t="str">
        <v>N</v>
      </c>
      <c r="BI14" s="210" t="str">
        <v>N</v>
      </c>
      <c r="BJ14" s="210" t="str">
        <v>N</v>
      </c>
      <c r="BK14" s="210" t="str">
        <v>N</v>
      </c>
      <c r="BL14" s="210" t="str">
        <v>N</v>
      </c>
      <c r="BM14" s="210" t="str">
        <v>N</v>
      </c>
      <c r="BN14" s="210" t="str">
        <v>N</v>
      </c>
      <c r="BO14" s="210" t="str">
        <v>N</v>
      </c>
      <c r="BP14" s="210" t="str">
        <v>N</v>
      </c>
      <c r="BQ14" s="210" t="str">
        <v>N</v>
      </c>
      <c r="BR14" s="210" t="str">
        <v>N</v>
      </c>
      <c r="BS14" s="210" t="str">
        <v>N</v>
      </c>
      <c r="BT14" s="210" t="str">
        <v>N</v>
      </c>
      <c r="BU14" s="210" t="str">
        <v>N</v>
      </c>
      <c r="BV14" s="210" t="str">
        <v>N</v>
      </c>
      <c r="BW14" s="210" t="str">
        <v>N</v>
      </c>
      <c r="BX14" s="210" t="str">
        <v>N</v>
      </c>
      <c r="BY14" s="210" t="str">
        <v>N</v>
      </c>
      <c r="BZ14" s="210" t="str">
        <v>N</v>
      </c>
      <c r="CA14" s="210" t="str">
        <v>N</v>
      </c>
      <c r="CB14" s="210" t="str">
        <v>N</v>
      </c>
      <c r="CC14" s="210" t="str">
        <v>N</v>
      </c>
      <c r="CD14" s="210" t="str">
        <v>N</v>
      </c>
      <c r="CE14" s="210" t="str">
        <v>N</v>
      </c>
      <c r="CF14" s="210" t="str">
        <v>N</v>
      </c>
      <c r="CG14" s="210" t="str">
        <v>N</v>
      </c>
      <c r="CH14" s="210" t="str">
        <v>N</v>
      </c>
      <c r="CI14" s="210" t="str">
        <v>N</v>
      </c>
      <c r="CJ14" s="210" t="str">
        <v>N</v>
      </c>
      <c r="CK14" s="210" t="str">
        <v>N</v>
      </c>
      <c r="CL14" s="210" t="str">
        <v>N</v>
      </c>
      <c r="CM14" s="210" t="str">
        <v>N</v>
      </c>
      <c r="CN14" s="210" t="str">
        <v>N</v>
      </c>
      <c r="CO14" s="1" t="str">
        <v>N</v>
      </c>
      <c r="CP14" s="1" t="str">
        <v>N</v>
      </c>
      <c r="CQ14" s="1" t="str">
        <v>N</v>
      </c>
      <c r="CR14" s="1" t="str">
        <v>N</v>
      </c>
    </row>
    <row r="15" spans="2:96">
      <c r="J15" s="1">
        <v>0</v>
      </c>
      <c r="K15" s="220">
        <v>8</v>
      </c>
      <c r="L15" s="218">
        <f t="shared" si="25"/>
        <v>0.94299440516591537</v>
      </c>
      <c r="M15" s="206">
        <f t="shared" si="19"/>
        <v>0.92311634638663576</v>
      </c>
      <c r="N15" s="206">
        <f t="shared" si="20"/>
        <v>0.74378742802017961</v>
      </c>
      <c r="O15" s="206">
        <f t="shared" si="3"/>
        <v>0.87049354995979866</v>
      </c>
      <c r="P15" s="207">
        <f t="shared" si="4"/>
        <v>0.70138738325577532</v>
      </c>
      <c r="Q15" s="218">
        <f t="shared" si="0"/>
        <v>5.25</v>
      </c>
      <c r="R15" s="206">
        <f t="shared" si="5"/>
        <v>5</v>
      </c>
      <c r="S15" s="206">
        <f t="shared" si="21"/>
        <v>0.25</v>
      </c>
      <c r="T15" s="218" cm="1">
        <f t="array" ref="T15">IF(Q15="", "", IF(Q15&lt;1, 0, SUM(EXP(-0.01*_xlfn.SEQUENCE(1,R15)*K15)*(2-EXP(0.00693*_xlfn.SEQUENCE(1, R15)*K15)))))</f>
        <v>3.2690673579830336</v>
      </c>
      <c r="U15" s="206">
        <f t="shared" si="6"/>
        <v>9.3645884023273701E-2</v>
      </c>
      <c r="V15" s="206">
        <f t="shared" si="7"/>
        <v>3.3627132420063073</v>
      </c>
      <c r="W15" s="218" cm="1">
        <f t="array" ref="W15">IF(Q15="", "", IF(Q15&lt;1, 0, SUM(EXP(-0.037*_xlfn.SEQUENCE(1,R15)*K15)*(2-EXP(0.00693*_xlfn.SEQUENCE(1, R15)*K15)))))</f>
        <v>1.9117480110760701</v>
      </c>
      <c r="X15" s="206">
        <f t="shared" si="8"/>
        <v>2.5623771050197492E-2</v>
      </c>
      <c r="Y15" s="207">
        <f t="shared" si="22"/>
        <v>1.9373717821262675</v>
      </c>
      <c r="Z15" s="218">
        <f t="shared" si="23"/>
        <v>0.76185426108983756</v>
      </c>
      <c r="AA15" s="218">
        <f t="shared" si="9"/>
        <v>0.66318922028809202</v>
      </c>
      <c r="AB15" s="207">
        <f t="shared" si="10"/>
        <v>0.53435496660806336</v>
      </c>
      <c r="AC15" s="206" cm="1">
        <f t="array" ref="AC15">IF(Q15="", "", IF(Q15&lt;1, 0, SUM(EXP(-0.01*_xlfn.SEQUENCE(1,R15)*K15)*(2-EXP(0.00693*_xlfn.SEQUENCE(1, R15)*K15))*EXP(-0.034*_xlfn.SEQUENCE(1, R15)*K15))))</f>
        <v>1.6856815963608152</v>
      </c>
      <c r="AD15" s="206">
        <f t="shared" si="11"/>
        <v>9.3645884023273701E-2</v>
      </c>
      <c r="AE15" s="206">
        <f t="shared" si="12"/>
        <v>1.7793274803840888</v>
      </c>
      <c r="AF15" s="218" cm="1">
        <f t="array" ref="AF15">IF(Q15="", "", IF(Q15&lt;1, 0, SUM(EXP(-0.037*_xlfn.SEQUENCE(1,R15)*K15)*(2-EXP(0.00693*_xlfn.SEQUENCE(1, R15)*K15))*EXP(-0.034*_xlfn.SEQUENCE(1, R15)*K15))))</f>
        <v>1.0841029854288022</v>
      </c>
      <c r="AG15" s="206">
        <f t="shared" si="13"/>
        <v>5.0104236745103468E-3</v>
      </c>
      <c r="AH15" s="207">
        <f t="shared" si="14"/>
        <v>1.0891134091033126</v>
      </c>
      <c r="AI15" s="218">
        <f t="shared" si="15"/>
        <v>0.78662786106655347</v>
      </c>
      <c r="AJ15" s="226">
        <f t="shared" si="16"/>
        <v>9</v>
      </c>
      <c r="AK15" s="226">
        <f t="shared" si="17"/>
        <v>41</v>
      </c>
      <c r="AL15" s="206" cm="1">
        <f t="array" ref="AL15">IF(AK15=0, "", SUM(EXP(-0.03*_xlfn.SEQUENCE(1,AK15, AJ15))))</f>
        <v>18.279786409784883</v>
      </c>
      <c r="AM15" s="210">
        <f t="shared" si="1"/>
        <v>65.046272442345014</v>
      </c>
      <c r="AN15" s="1">
        <f t="shared" si="18"/>
        <v>0.24064377002050982</v>
      </c>
      <c r="AO15" s="210">
        <f t="shared" si="2"/>
        <v>3.5254214873653824</v>
      </c>
      <c r="AP15" s="210">
        <f t="shared" si="24"/>
        <v>35.881532011039319</v>
      </c>
      <c r="AT15" s="210" t="str">
        <v>Y</v>
      </c>
      <c r="AU15" s="210" t="str">
        <v>Y</v>
      </c>
      <c r="AV15" s="210" t="str">
        <v>N</v>
      </c>
      <c r="AW15" s="210" t="str">
        <v>Y</v>
      </c>
      <c r="AX15" s="210" t="str">
        <v>N</v>
      </c>
      <c r="AY15" s="210" t="str">
        <v>N</v>
      </c>
      <c r="AZ15" s="210" t="str">
        <v>N</v>
      </c>
      <c r="BA15" s="210" t="str">
        <v>Y</v>
      </c>
      <c r="BB15" s="210" t="str">
        <v>N</v>
      </c>
      <c r="BC15" s="210" t="str">
        <v>N</v>
      </c>
      <c r="BD15" s="210" t="str">
        <v>N</v>
      </c>
      <c r="BE15" s="210" t="str">
        <v>N</v>
      </c>
      <c r="BF15" s="210" t="str">
        <v>N</v>
      </c>
      <c r="BG15" s="210" t="str">
        <v>N</v>
      </c>
      <c r="BH15" s="210" t="str">
        <v>N</v>
      </c>
      <c r="BI15" s="210" t="str">
        <v>N</v>
      </c>
      <c r="BJ15" s="210" t="str">
        <v>N</v>
      </c>
      <c r="BK15" s="210" t="str">
        <v>N</v>
      </c>
      <c r="BL15" s="210" t="str">
        <v>N</v>
      </c>
      <c r="BM15" s="210" t="str">
        <v>N</v>
      </c>
      <c r="BN15" s="210" t="str">
        <v>N</v>
      </c>
      <c r="BO15" s="210" t="str">
        <v>N</v>
      </c>
      <c r="BP15" s="210" t="str">
        <v>N</v>
      </c>
      <c r="BQ15" s="210" t="str">
        <v>N</v>
      </c>
      <c r="BR15" s="210" t="str">
        <v>N</v>
      </c>
      <c r="BS15" s="210" t="str">
        <v>N</v>
      </c>
      <c r="BT15" s="210" t="str">
        <v>N</v>
      </c>
      <c r="BU15" s="210" t="str">
        <v>N</v>
      </c>
      <c r="BV15" s="210" t="str">
        <v>N</v>
      </c>
      <c r="BW15" s="210" t="str">
        <v>N</v>
      </c>
      <c r="BX15" s="210" t="str">
        <v>N</v>
      </c>
      <c r="BY15" s="210" t="str">
        <v>N</v>
      </c>
      <c r="BZ15" s="210" t="str">
        <v>N</v>
      </c>
      <c r="CA15" s="210" t="str">
        <v>N</v>
      </c>
      <c r="CB15" s="210" t="str">
        <v>N</v>
      </c>
      <c r="CC15" s="210" t="str">
        <v>N</v>
      </c>
      <c r="CD15" s="210" t="str">
        <v>N</v>
      </c>
      <c r="CE15" s="210" t="str">
        <v>N</v>
      </c>
      <c r="CF15" s="210" t="str">
        <v>N</v>
      </c>
      <c r="CG15" s="210" t="str">
        <v>N</v>
      </c>
      <c r="CH15" s="210" t="str">
        <v>N</v>
      </c>
      <c r="CI15" s="210" t="str">
        <v>N</v>
      </c>
      <c r="CJ15" s="210" t="str">
        <v>N</v>
      </c>
      <c r="CK15" s="210" t="str">
        <v>N</v>
      </c>
      <c r="CL15" s="210" t="str">
        <v>N</v>
      </c>
      <c r="CM15" s="210" t="str">
        <v>N</v>
      </c>
      <c r="CN15" s="210" t="str">
        <v>N</v>
      </c>
      <c r="CO15" s="1" t="str">
        <v>N</v>
      </c>
      <c r="CP15" s="1" t="str">
        <v>N</v>
      </c>
      <c r="CQ15" s="1" t="str">
        <v>N</v>
      </c>
      <c r="CR15" s="1" t="str">
        <v>N</v>
      </c>
    </row>
    <row r="16" spans="2:96">
      <c r="J16" s="1">
        <v>0</v>
      </c>
      <c r="K16" s="220">
        <v>9</v>
      </c>
      <c r="L16" s="218">
        <f t="shared" si="25"/>
        <v>0.93564391636721145</v>
      </c>
      <c r="M16" s="206">
        <f t="shared" si="19"/>
        <v>0.91393118527122819</v>
      </c>
      <c r="N16" s="206">
        <f t="shared" si="20"/>
        <v>0.71677019415569898</v>
      </c>
      <c r="O16" s="206">
        <f t="shared" si="3"/>
        <v>0.85511415347729947</v>
      </c>
      <c r="P16" s="207">
        <f t="shared" si="4"/>
        <v>0.67064167159512478</v>
      </c>
      <c r="Q16" s="218">
        <f t="shared" si="0"/>
        <v>4.5555555555555554</v>
      </c>
      <c r="R16" s="206">
        <f t="shared" si="5"/>
        <v>4</v>
      </c>
      <c r="S16" s="206">
        <f t="shared" si="21"/>
        <v>0.55555555555555536</v>
      </c>
      <c r="T16" s="218" cm="1">
        <f t="array" ref="T16">IF(Q16="", "", IF(Q16&lt;1, 0, SUM(EXP(-0.01*_xlfn.SEQUENCE(1,R16)*K16)*(2-EXP(0.00693*_xlfn.SEQUENCE(1, R16)*K16)))))</f>
        <v>2.6857063092555644</v>
      </c>
      <c r="U16" s="206">
        <f t="shared" si="6"/>
        <v>0.22460459250118872</v>
      </c>
      <c r="V16" s="206">
        <f t="shared" si="7"/>
        <v>2.9103109017567532</v>
      </c>
      <c r="W16" s="218" cm="1">
        <f t="array" ref="W16">IF(Q16="", "", IF(Q16&lt;1, 0, SUM(EXP(-0.037*_xlfn.SEQUENCE(1,R16)*K16)*(2-EXP(0.00693*_xlfn.SEQUENCE(1, R16)*K16)))))</f>
        <v>1.5977800212586397</v>
      </c>
      <c r="X16" s="206">
        <f t="shared" si="8"/>
        <v>6.6642431851535927E-2</v>
      </c>
      <c r="Y16" s="207">
        <f t="shared" si="22"/>
        <v>1.6644224531101757</v>
      </c>
      <c r="Z16" s="218">
        <f t="shared" si="23"/>
        <v>0.73638661945610007</v>
      </c>
      <c r="AA16" s="218">
        <f t="shared" si="9"/>
        <v>0.62969462072821325</v>
      </c>
      <c r="AB16" s="207">
        <f t="shared" si="10"/>
        <v>0.49385155341232201</v>
      </c>
      <c r="AC16" s="206" cm="1">
        <f t="array" ref="AC16">IF(Q16="", "", IF(Q16&lt;1, 0, SUM(EXP(-0.01*_xlfn.SEQUENCE(1,R16)*K16)*(2-EXP(0.00693*_xlfn.SEQUENCE(1, R16)*K16))*EXP(-0.034*_xlfn.SEQUENCE(1, R16)*K16))))</f>
        <v>1.4115876862816008</v>
      </c>
      <c r="AD16" s="206">
        <f t="shared" si="11"/>
        <v>0.22460459250118872</v>
      </c>
      <c r="AE16" s="206">
        <f t="shared" si="12"/>
        <v>1.6361922787827896</v>
      </c>
      <c r="AF16" s="218" cm="1">
        <f t="array" ref="AF16">IF(Q16="", "", IF(Q16&lt;1, 0, SUM(EXP(-0.037*_xlfn.SEQUENCE(1,R16)*K16)*(2-EXP(0.00693*_xlfn.SEQUENCE(1, R16)*K16))*EXP(-0.034*_xlfn.SEQUENCE(1, R16)*K16))))</f>
        <v>0.90784605154925802</v>
      </c>
      <c r="AG16" s="206">
        <f t="shared" si="13"/>
        <v>1.4430463452533857E-2</v>
      </c>
      <c r="AH16" s="207">
        <f t="shared" si="14"/>
        <v>0.92227651500179186</v>
      </c>
      <c r="AI16" s="218">
        <f t="shared" si="15"/>
        <v>0.76337949433685315</v>
      </c>
      <c r="AJ16" s="226">
        <f t="shared" si="16"/>
        <v>10</v>
      </c>
      <c r="AK16" s="226">
        <f t="shared" si="17"/>
        <v>40</v>
      </c>
      <c r="AL16" s="206" cm="1">
        <f t="array" ref="AL16">IF(AK16=0, "", SUM(EXP(-0.03*_xlfn.SEQUENCE(1,AK16, AJ16))))</f>
        <v>17.51640691544803</v>
      </c>
      <c r="AM16" s="210">
        <f t="shared" si="1"/>
        <v>60.672946278383222</v>
      </c>
      <c r="AN16" s="1">
        <f t="shared" si="18"/>
        <v>0</v>
      </c>
      <c r="AO16" s="210">
        <f t="shared" si="2"/>
        <v>3.4212295362896734</v>
      </c>
      <c r="AP16" s="210">
        <f t="shared" si="24"/>
        <v>39.302761547328991</v>
      </c>
      <c r="AT16" s="210" t="str">
        <v>Y</v>
      </c>
      <c r="AU16" s="210" t="str">
        <v>N</v>
      </c>
      <c r="AV16" s="210" t="str">
        <v>Y</v>
      </c>
      <c r="AW16" s="210" t="str">
        <v>N</v>
      </c>
      <c r="AX16" s="210" t="str">
        <v>N</v>
      </c>
      <c r="AY16" s="210" t="str">
        <v>N</v>
      </c>
      <c r="AZ16" s="210" t="str">
        <v>N</v>
      </c>
      <c r="BA16" s="210" t="str">
        <v>N</v>
      </c>
      <c r="BB16" s="210" t="str">
        <v>Y</v>
      </c>
      <c r="BC16" s="210" t="str">
        <v>N</v>
      </c>
      <c r="BD16" s="210" t="str">
        <v>N</v>
      </c>
      <c r="BE16" s="210" t="str">
        <v>N</v>
      </c>
      <c r="BF16" s="210" t="str">
        <v>N</v>
      </c>
      <c r="BG16" s="210" t="str">
        <v>N</v>
      </c>
      <c r="BH16" s="210" t="str">
        <v>N</v>
      </c>
      <c r="BI16" s="210" t="str">
        <v>N</v>
      </c>
      <c r="BJ16" s="210" t="str">
        <v>N</v>
      </c>
      <c r="BK16" s="210" t="str">
        <v>N</v>
      </c>
      <c r="BL16" s="210" t="str">
        <v>N</v>
      </c>
      <c r="BM16" s="210" t="str">
        <v>N</v>
      </c>
      <c r="BN16" s="210" t="str">
        <v>N</v>
      </c>
      <c r="BO16" s="210" t="str">
        <v>N</v>
      </c>
      <c r="BP16" s="210" t="str">
        <v>N</v>
      </c>
      <c r="BQ16" s="210" t="str">
        <v>N</v>
      </c>
      <c r="BR16" s="210" t="str">
        <v>N</v>
      </c>
      <c r="BS16" s="210" t="str">
        <v>N</v>
      </c>
      <c r="BT16" s="210" t="str">
        <v>N</v>
      </c>
      <c r="BU16" s="210" t="str">
        <v>N</v>
      </c>
      <c r="BV16" s="210" t="str">
        <v>N</v>
      </c>
      <c r="BW16" s="210" t="str">
        <v>N</v>
      </c>
      <c r="BX16" s="210" t="str">
        <v>N</v>
      </c>
      <c r="BY16" s="210" t="str">
        <v>N</v>
      </c>
      <c r="BZ16" s="210" t="str">
        <v>N</v>
      </c>
      <c r="CA16" s="210" t="str">
        <v>N</v>
      </c>
      <c r="CB16" s="210" t="str">
        <v>N</v>
      </c>
      <c r="CC16" s="210" t="str">
        <v>N</v>
      </c>
      <c r="CD16" s="210" t="str">
        <v>N</v>
      </c>
      <c r="CE16" s="210" t="str">
        <v>N</v>
      </c>
      <c r="CF16" s="210" t="str">
        <v>N</v>
      </c>
      <c r="CG16" s="210" t="str">
        <v>N</v>
      </c>
      <c r="CH16" s="210" t="str">
        <v>N</v>
      </c>
      <c r="CI16" s="210" t="str">
        <v>N</v>
      </c>
      <c r="CJ16" s="210" t="str">
        <v>N</v>
      </c>
      <c r="CK16" s="210" t="str">
        <v>N</v>
      </c>
      <c r="CL16" s="210" t="str">
        <v>N</v>
      </c>
      <c r="CM16" s="210" t="str">
        <v>N</v>
      </c>
      <c r="CN16" s="210" t="str">
        <v>N</v>
      </c>
      <c r="CO16" s="1" t="str">
        <v>N</v>
      </c>
      <c r="CP16" s="1" t="str">
        <v>N</v>
      </c>
      <c r="CQ16" s="1" t="str">
        <v>N</v>
      </c>
      <c r="CR16" s="1" t="str">
        <v>N</v>
      </c>
    </row>
    <row r="17" spans="2:96">
      <c r="J17" s="1">
        <v>0</v>
      </c>
      <c r="K17" s="220">
        <v>10</v>
      </c>
      <c r="L17" s="218">
        <f t="shared" si="25"/>
        <v>0.92824231176945804</v>
      </c>
      <c r="M17" s="206">
        <f t="shared" si="19"/>
        <v>0.90483741803595952</v>
      </c>
      <c r="N17" s="206">
        <f t="shared" si="20"/>
        <v>0.69073433063735468</v>
      </c>
      <c r="O17" s="206">
        <f t="shared" si="3"/>
        <v>0.83990837669320662</v>
      </c>
      <c r="P17" s="207">
        <f t="shared" si="4"/>
        <v>0.64116883188934726</v>
      </c>
      <c r="Q17" s="218">
        <f t="shared" si="0"/>
        <v>4</v>
      </c>
      <c r="R17" s="206">
        <f t="shared" si="5"/>
        <v>4</v>
      </c>
      <c r="S17" s="206">
        <f t="shared" si="21"/>
        <v>0</v>
      </c>
      <c r="T17" s="218" cm="1">
        <f t="array" ref="T17">IF(Q17="", "", IF(Q17&lt;1, 0, SUM(EXP(-0.01*_xlfn.SEQUENCE(1,R17)*K17)*(2-EXP(0.00693*_xlfn.SEQUENCE(1, R17)*K17)))))</f>
        <v>2.5627449539776657</v>
      </c>
      <c r="U17" s="206">
        <f t="shared" si="6"/>
        <v>0</v>
      </c>
      <c r="V17" s="206">
        <f t="shared" si="7"/>
        <v>2.5627449539776657</v>
      </c>
      <c r="W17" s="218" cm="1">
        <f t="array" ref="W17">IF(Q17="", "", IF(Q17&lt;1, 0, SUM(EXP(-0.037*_xlfn.SEQUENCE(1,R17)*K17)*(2-EXP(0.00693*_xlfn.SEQUENCE(1, R17)*K17)))))</f>
        <v>1.4556773174484305</v>
      </c>
      <c r="X17" s="206">
        <f t="shared" si="8"/>
        <v>0</v>
      </c>
      <c r="Y17" s="207">
        <f t="shared" si="22"/>
        <v>1.4556773174484305</v>
      </c>
      <c r="Z17" s="218">
        <f t="shared" si="23"/>
        <v>0.71177032276260965</v>
      </c>
      <c r="AA17" s="218">
        <f t="shared" si="9"/>
        <v>0.59782185636994323</v>
      </c>
      <c r="AB17" s="207">
        <f t="shared" si="10"/>
        <v>0.45636494641920611</v>
      </c>
      <c r="AC17" s="206" cm="1">
        <f t="array" ref="AC17">IF(Q17="", "", IF(Q17&lt;1, 0, SUM(EXP(-0.01*_xlfn.SEQUENCE(1,R17)*K17)*(2-EXP(0.00693*_xlfn.SEQUENCE(1, R17)*K17))*EXP(-0.034*_xlfn.SEQUENCE(1, R17)*K17))))</f>
        <v>1.2734327801282475</v>
      </c>
      <c r="AD17" s="206">
        <f t="shared" si="11"/>
        <v>0</v>
      </c>
      <c r="AE17" s="206">
        <f t="shared" si="12"/>
        <v>1.2734327801282475</v>
      </c>
      <c r="AF17" s="218" cm="1">
        <f t="array" ref="AF17">IF(Q17="", "", IF(Q17&lt;1, 0, SUM(EXP(-0.037*_xlfn.SEQUENCE(1,R17)*K17)*(2-EXP(0.00693*_xlfn.SEQUENCE(1, R17)*K17))*EXP(-0.034*_xlfn.SEQUENCE(1, R17)*K17))))</f>
        <v>0.79328257879103159</v>
      </c>
      <c r="AG17" s="206">
        <f t="shared" si="13"/>
        <v>0</v>
      </c>
      <c r="AH17" s="207">
        <f t="shared" si="14"/>
        <v>0.79328257879103159</v>
      </c>
      <c r="AI17" s="218">
        <f t="shared" si="15"/>
        <v>0.74081822068171788</v>
      </c>
      <c r="AJ17" s="226">
        <f t="shared" si="16"/>
        <v>11</v>
      </c>
      <c r="AK17" s="226">
        <f t="shared" si="17"/>
        <v>39</v>
      </c>
      <c r="AL17" s="206" cm="1">
        <f t="array" ref="AL17">IF(AK17=0, "", SUM(EXP(-0.03*_xlfn.SEQUENCE(1,AK17, AJ17))))</f>
        <v>16.775588694766309</v>
      </c>
      <c r="AM17" s="210">
        <f t="shared" si="1"/>
        <v>55.415388092119791</v>
      </c>
      <c r="AN17" s="1">
        <f t="shared" si="18"/>
        <v>0</v>
      </c>
      <c r="AO17" s="210">
        <f t="shared" si="2"/>
        <v>3.3201169227365472</v>
      </c>
      <c r="AP17" s="210">
        <f t="shared" si="24"/>
        <v>42.622878470065537</v>
      </c>
      <c r="AT17" s="210" t="str">
        <v>Y</v>
      </c>
      <c r="AU17" s="210" t="str">
        <v>Y</v>
      </c>
      <c r="AV17" s="210" t="str">
        <v>N</v>
      </c>
      <c r="AW17" s="210" t="str">
        <v>N</v>
      </c>
      <c r="AX17" s="210" t="str">
        <v>Y</v>
      </c>
      <c r="AY17" s="210" t="str">
        <v>N</v>
      </c>
      <c r="AZ17" s="210" t="str">
        <v>N</v>
      </c>
      <c r="BA17" s="210" t="str">
        <v>N</v>
      </c>
      <c r="BB17" s="210" t="str">
        <v>N</v>
      </c>
      <c r="BC17" s="210" t="str">
        <v>Y</v>
      </c>
      <c r="BD17" s="210" t="str">
        <v>N</v>
      </c>
      <c r="BE17" s="210" t="str">
        <v>N</v>
      </c>
      <c r="BF17" s="210" t="str">
        <v>N</v>
      </c>
      <c r="BG17" s="210" t="str">
        <v>N</v>
      </c>
      <c r="BH17" s="210" t="str">
        <v>N</v>
      </c>
      <c r="BI17" s="210" t="str">
        <v>N</v>
      </c>
      <c r="BJ17" s="210" t="str">
        <v>N</v>
      </c>
      <c r="BK17" s="210" t="str">
        <v>N</v>
      </c>
      <c r="BL17" s="210" t="str">
        <v>N</v>
      </c>
      <c r="BM17" s="210" t="str">
        <v>N</v>
      </c>
      <c r="BN17" s="210" t="str">
        <v>N</v>
      </c>
      <c r="BO17" s="210" t="str">
        <v>N</v>
      </c>
      <c r="BP17" s="210" t="str">
        <v>N</v>
      </c>
      <c r="BQ17" s="210" t="str">
        <v>N</v>
      </c>
      <c r="BR17" s="210" t="str">
        <v>N</v>
      </c>
      <c r="BS17" s="210" t="str">
        <v>N</v>
      </c>
      <c r="BT17" s="210" t="str">
        <v>N</v>
      </c>
      <c r="BU17" s="210" t="str">
        <v>N</v>
      </c>
      <c r="BV17" s="210" t="str">
        <v>N</v>
      </c>
      <c r="BW17" s="210" t="str">
        <v>N</v>
      </c>
      <c r="BX17" s="210" t="str">
        <v>N</v>
      </c>
      <c r="BY17" s="210" t="str">
        <v>N</v>
      </c>
      <c r="BZ17" s="210" t="str">
        <v>N</v>
      </c>
      <c r="CA17" s="210" t="str">
        <v>N</v>
      </c>
      <c r="CB17" s="210" t="str">
        <v>N</v>
      </c>
      <c r="CC17" s="210" t="str">
        <v>N</v>
      </c>
      <c r="CD17" s="210" t="str">
        <v>N</v>
      </c>
      <c r="CE17" s="210" t="str">
        <v>N</v>
      </c>
      <c r="CF17" s="210" t="str">
        <v>N</v>
      </c>
      <c r="CG17" s="210" t="str">
        <v>N</v>
      </c>
      <c r="CH17" s="210" t="str">
        <v>N</v>
      </c>
      <c r="CI17" s="210" t="str">
        <v>N</v>
      </c>
      <c r="CJ17" s="210" t="str">
        <v>N</v>
      </c>
      <c r="CK17" s="210" t="str">
        <v>N</v>
      </c>
      <c r="CL17" s="210" t="str">
        <v>N</v>
      </c>
      <c r="CM17" s="210" t="str">
        <v>N</v>
      </c>
      <c r="CN17" s="210" t="str">
        <v>N</v>
      </c>
      <c r="CO17" s="1" t="str">
        <v>N</v>
      </c>
      <c r="CP17" s="1" t="str">
        <v>N</v>
      </c>
      <c r="CQ17" s="1" t="str">
        <v>N</v>
      </c>
      <c r="CR17" s="1" t="str">
        <v>N</v>
      </c>
    </row>
    <row r="18" spans="2:96" ht="17.100000000000001">
      <c r="B18" s="190" t="s">
        <v>493</v>
      </c>
      <c r="C18" s="861" t="s">
        <v>590</v>
      </c>
      <c r="D18" s="862"/>
      <c r="E18" s="862"/>
      <c r="F18" s="863"/>
      <c r="G18" s="861" t="s">
        <v>591</v>
      </c>
      <c r="H18" s="862"/>
      <c r="I18" s="864"/>
      <c r="J18" s="1">
        <v>0</v>
      </c>
      <c r="K18" s="220">
        <v>11</v>
      </c>
      <c r="L18" s="218">
        <f t="shared" si="25"/>
        <v>0.92078923590991169</v>
      </c>
      <c r="M18" s="206">
        <f t="shared" si="19"/>
        <v>0.89583413529652822</v>
      </c>
      <c r="N18" s="206">
        <f t="shared" si="20"/>
        <v>0.66564419030152122</v>
      </c>
      <c r="O18" s="206">
        <f t="shared" si="3"/>
        <v>0.82487442894170671</v>
      </c>
      <c r="P18" s="207">
        <f t="shared" si="4"/>
        <v>0.61291800537560959</v>
      </c>
      <c r="Q18" s="218">
        <f t="shared" si="0"/>
        <v>3.5454545454545459</v>
      </c>
      <c r="R18" s="206">
        <f t="shared" si="5"/>
        <v>3</v>
      </c>
      <c r="S18" s="206">
        <f t="shared" si="21"/>
        <v>0.54545454545454586</v>
      </c>
      <c r="T18" s="218" cm="1">
        <f t="array" ref="T18">IF(Q18="", "", IF(Q18&lt;1, 0, SUM(EXP(-0.01*_xlfn.SEQUENCE(1,R18)*K18)*(2-EXP(0.00693*_xlfn.SEQUENCE(1, R18)*K18)))))</f>
        <v>2.0294163024003771</v>
      </c>
      <c r="U18" s="206">
        <f t="shared" si="6"/>
        <v>0.22605099543020032</v>
      </c>
      <c r="V18" s="206">
        <f t="shared" si="7"/>
        <v>2.2554672978305774</v>
      </c>
      <c r="W18" s="218" cm="1">
        <f t="array" ref="W18">IF(Q18="", "", IF(Q18&lt;1, 0, SUM(EXP(-0.037*_xlfn.SEQUENCE(1,R18)*K18)*(2-EXP(0.00693*_xlfn.SEQUENCE(1, R18)*K18)))))</f>
        <v>1.2021772146934551</v>
      </c>
      <c r="X18" s="206">
        <f t="shared" si="8"/>
        <v>6.8907196243236615E-2</v>
      </c>
      <c r="Y18" s="207">
        <f t="shared" si="22"/>
        <v>1.2710844109366917</v>
      </c>
      <c r="Z18" s="218">
        <f t="shared" si="23"/>
        <v>0.68797691182897946</v>
      </c>
      <c r="AA18" s="218">
        <f t="shared" si="9"/>
        <v>0.56749456227000838</v>
      </c>
      <c r="AB18" s="207">
        <f t="shared" si="10"/>
        <v>0.42167343654268974</v>
      </c>
      <c r="AC18" s="206" cm="1">
        <f t="array" ref="AC18">IF(Q18="", "", IF(Q18&lt;1, 0, SUM(EXP(-0.01*_xlfn.SEQUENCE(1,R18)*K18)*(2-EXP(0.00693*_xlfn.SEQUENCE(1, R18)*K18))*EXP(-0.034*_xlfn.SEQUENCE(1, R18)*K18))))</f>
        <v>1.0587267834399732</v>
      </c>
      <c r="AD18" s="206">
        <f t="shared" si="11"/>
        <v>0.22605099543020032</v>
      </c>
      <c r="AE18" s="206">
        <f t="shared" si="12"/>
        <v>1.2847777788701735</v>
      </c>
      <c r="AF18" s="218" cm="1">
        <f t="array" ref="AF18">IF(Q18="", "", IF(Q18&lt;1, 0, SUM(EXP(-0.037*_xlfn.SEQUENCE(1,R18)*K18)*(2-EXP(0.00693*_xlfn.SEQUENCE(1, R18)*K18))*EXP(-0.034*_xlfn.SEQUENCE(1, R18)*K18))))</f>
        <v>0.66821188121334774</v>
      </c>
      <c r="AG18" s="206">
        <f t="shared" si="13"/>
        <v>1.5436897994422119E-2</v>
      </c>
      <c r="AH18" s="207">
        <f t="shared" si="14"/>
        <v>0.6836487792077699</v>
      </c>
      <c r="AI18" s="218">
        <f t="shared" si="15"/>
        <v>0.71892373343192617</v>
      </c>
      <c r="AJ18" s="226">
        <f t="shared" si="16"/>
        <v>12</v>
      </c>
      <c r="AK18" s="226">
        <f t="shared" si="17"/>
        <v>38</v>
      </c>
      <c r="AL18" s="206" cm="1">
        <f t="array" ref="AL18">IF(AK18=0, "", SUM(EXP(-0.03*_xlfn.SEQUENCE(1,AK18, AJ18))))</f>
        <v>16.056664961334381</v>
      </c>
      <c r="AM18" s="210">
        <f t="shared" si="1"/>
        <v>52.679255226093552</v>
      </c>
      <c r="AN18" s="1">
        <f t="shared" si="18"/>
        <v>0.12541390101094038</v>
      </c>
      <c r="AO18" s="210">
        <f t="shared" si="2"/>
        <v>3.2219926385284996</v>
      </c>
      <c r="AP18" s="210">
        <f t="shared" si="24"/>
        <v>45.844871108594035</v>
      </c>
      <c r="AT18" s="210" t="str">
        <v>Y</v>
      </c>
      <c r="AU18" s="210" t="str">
        <v>N</v>
      </c>
      <c r="AV18" s="210" t="str">
        <v>N</v>
      </c>
      <c r="AW18" s="210" t="str">
        <v>N</v>
      </c>
      <c r="AX18" s="210" t="str">
        <v>N</v>
      </c>
      <c r="AY18" s="210" t="str">
        <v>N</v>
      </c>
      <c r="AZ18" s="210" t="str">
        <v>N</v>
      </c>
      <c r="BA18" s="210" t="str">
        <v>N</v>
      </c>
      <c r="BB18" s="210" t="str">
        <v>N</v>
      </c>
      <c r="BC18" s="210" t="str">
        <v>N</v>
      </c>
      <c r="BD18" s="210" t="str">
        <v>Y</v>
      </c>
      <c r="BE18" s="210" t="str">
        <v>N</v>
      </c>
      <c r="BF18" s="210" t="str">
        <v>N</v>
      </c>
      <c r="BG18" s="210" t="str">
        <v>N</v>
      </c>
      <c r="BH18" s="210" t="str">
        <v>N</v>
      </c>
      <c r="BI18" s="210" t="str">
        <v>N</v>
      </c>
      <c r="BJ18" s="210" t="str">
        <v>N</v>
      </c>
      <c r="BK18" s="210" t="str">
        <v>N</v>
      </c>
      <c r="BL18" s="210" t="str">
        <v>N</v>
      </c>
      <c r="BM18" s="210" t="str">
        <v>N</v>
      </c>
      <c r="BN18" s="210" t="str">
        <v>N</v>
      </c>
      <c r="BO18" s="210" t="str">
        <v>N</v>
      </c>
      <c r="BP18" s="210" t="str">
        <v>N</v>
      </c>
      <c r="BQ18" s="210" t="str">
        <v>N</v>
      </c>
      <c r="BR18" s="210" t="str">
        <v>N</v>
      </c>
      <c r="BS18" s="210" t="str">
        <v>N</v>
      </c>
      <c r="BT18" s="210" t="str">
        <v>N</v>
      </c>
      <c r="BU18" s="210" t="str">
        <v>N</v>
      </c>
      <c r="BV18" s="210" t="str">
        <v>N</v>
      </c>
      <c r="BW18" s="210" t="str">
        <v>N</v>
      </c>
      <c r="BX18" s="210" t="str">
        <v>N</v>
      </c>
      <c r="BY18" s="210" t="str">
        <v>N</v>
      </c>
      <c r="BZ18" s="210" t="str">
        <v>N</v>
      </c>
      <c r="CA18" s="210" t="str">
        <v>N</v>
      </c>
      <c r="CB18" s="210" t="str">
        <v>N</v>
      </c>
      <c r="CC18" s="210" t="str">
        <v>N</v>
      </c>
      <c r="CD18" s="210" t="str">
        <v>N</v>
      </c>
      <c r="CE18" s="210" t="str">
        <v>N</v>
      </c>
      <c r="CF18" s="210" t="str">
        <v>N</v>
      </c>
      <c r="CG18" s="210" t="str">
        <v>N</v>
      </c>
      <c r="CH18" s="210" t="str">
        <v>N</v>
      </c>
      <c r="CI18" s="210" t="str">
        <v>N</v>
      </c>
      <c r="CJ18" s="210" t="str">
        <v>N</v>
      </c>
      <c r="CK18" s="210" t="str">
        <v>N</v>
      </c>
      <c r="CL18" s="210" t="str">
        <v>N</v>
      </c>
      <c r="CM18" s="210" t="str">
        <v>N</v>
      </c>
      <c r="CN18" s="210" t="str">
        <v>N</v>
      </c>
      <c r="CO18" s="1" t="str">
        <v>N</v>
      </c>
      <c r="CP18" s="1" t="str">
        <v>N</v>
      </c>
      <c r="CQ18" s="1" t="str">
        <v>N</v>
      </c>
      <c r="CR18" s="1" t="str">
        <v>N</v>
      </c>
    </row>
    <row r="19" spans="2:96" ht="15.95">
      <c r="B19" s="102"/>
      <c r="C19" s="195" t="s">
        <v>592</v>
      </c>
      <c r="D19" s="195" t="s">
        <v>593</v>
      </c>
      <c r="E19" s="195" t="s">
        <v>594</v>
      </c>
      <c r="F19" s="195" t="s">
        <v>595</v>
      </c>
      <c r="G19" s="192" t="s">
        <v>229</v>
      </c>
      <c r="H19" s="193" t="s">
        <v>230</v>
      </c>
      <c r="I19" s="194" t="s">
        <v>206</v>
      </c>
      <c r="J19" s="1">
        <v>0</v>
      </c>
      <c r="K19" s="220">
        <v>12</v>
      </c>
      <c r="L19" s="218">
        <f t="shared" si="25"/>
        <v>0.91328433085391736</v>
      </c>
      <c r="M19" s="206">
        <f t="shared" si="19"/>
        <v>0.88692043671715748</v>
      </c>
      <c r="N19" s="206">
        <f t="shared" si="20"/>
        <v>0.64146542082731994</v>
      </c>
      <c r="O19" s="206">
        <f t="shared" si="3"/>
        <v>0.81001053756789332</v>
      </c>
      <c r="P19" s="207">
        <f t="shared" si="4"/>
        <v>0.58584031762620536</v>
      </c>
      <c r="Q19" s="218">
        <f t="shared" si="0"/>
        <v>3.166666666666667</v>
      </c>
      <c r="R19" s="206">
        <f t="shared" si="5"/>
        <v>3</v>
      </c>
      <c r="S19" s="206">
        <f t="shared" si="21"/>
        <v>0.16666666666666696</v>
      </c>
      <c r="T19" s="218" cm="1">
        <f t="array" ref="T19">IF(Q19="", "", IF(Q19&lt;1, 0, SUM(EXP(-0.01*_xlfn.SEQUENCE(1,R19)*K19)*(2-EXP(0.00693*_xlfn.SEQUENCE(1, R19)*K19)))))</f>
        <v>1.9542815728647245</v>
      </c>
      <c r="U19" s="206">
        <f t="shared" si="6"/>
        <v>6.2430589348849243E-2</v>
      </c>
      <c r="V19" s="206">
        <f t="shared" si="7"/>
        <v>2.0167121622135737</v>
      </c>
      <c r="W19" s="218" cm="1">
        <f t="array" ref="W19">IF(Q19="", "", IF(Q19&lt;1, 0, SUM(EXP(-0.037*_xlfn.SEQUENCE(1,R19)*K19)*(2-EXP(0.00693*_xlfn.SEQUENCE(1, R19)*K19)))))</f>
        <v>1.1120177396300439</v>
      </c>
      <c r="X19" s="206">
        <f t="shared" si="8"/>
        <v>1.7082514033465026E-2</v>
      </c>
      <c r="Y19" s="207">
        <f t="shared" si="22"/>
        <v>1.1291002536635089</v>
      </c>
      <c r="Z19" s="218">
        <f t="shared" si="23"/>
        <v>0.66497887882240192</v>
      </c>
      <c r="AA19" s="218">
        <f t="shared" si="9"/>
        <v>0.53863989910622878</v>
      </c>
      <c r="AB19" s="207">
        <f t="shared" si="10"/>
        <v>0.38957143758403384</v>
      </c>
      <c r="AC19" s="206" cm="1">
        <f t="array" ref="AC19">IF(Q19="", "", IF(Q19&lt;1, 0, SUM(EXP(-0.01*_xlfn.SEQUENCE(1,R19)*K19)*(2-EXP(0.00693*_xlfn.SEQUENCE(1, R19)*K19))*EXP(-0.034*_xlfn.SEQUENCE(1, R19)*K19))))</f>
        <v>0.9705626984543938</v>
      </c>
      <c r="AD19" s="206">
        <f t="shared" si="11"/>
        <v>6.2430589348849243E-2</v>
      </c>
      <c r="AE19" s="206">
        <f t="shared" si="12"/>
        <v>1.0329932878032431</v>
      </c>
      <c r="AF19" s="218" cm="1">
        <f t="array" ref="AF19">IF(Q19="", "", IF(Q19&lt;1, 0, SUM(EXP(-0.037*_xlfn.SEQUENCE(1,R19)*K19)*(2-EXP(0.00693*_xlfn.SEQUENCE(1, R19)*K19))*EXP(-0.034*_xlfn.SEQUENCE(1, R19)*K19))))</f>
        <v>0.59422276844616173</v>
      </c>
      <c r="AG19" s="206">
        <f t="shared" si="13"/>
        <v>3.3402824496735705E-3</v>
      </c>
      <c r="AH19" s="207">
        <f t="shared" si="14"/>
        <v>0.59756305089583528</v>
      </c>
      <c r="AI19" s="218">
        <f t="shared" si="15"/>
        <v>0.69767632607103103</v>
      </c>
      <c r="AJ19" s="226">
        <f t="shared" si="16"/>
        <v>13</v>
      </c>
      <c r="AK19" s="226">
        <f t="shared" si="17"/>
        <v>37</v>
      </c>
      <c r="AL19" s="206" cm="1">
        <f t="array" ref="AL19">IF(AK19=0, "", SUM(EXP(-0.03*_xlfn.SEQUENCE(1,AK19, AJ19))))</f>
        <v>15.358988635263351</v>
      </c>
      <c r="AM19" s="210">
        <f t="shared" si="1"/>
        <v>47.470318621515808</v>
      </c>
      <c r="AN19" s="1">
        <f t="shared" si="18"/>
        <v>0.4402270403127283</v>
      </c>
      <c r="AO19" s="210">
        <f t="shared" si="2"/>
        <v>3.1267683651861553</v>
      </c>
      <c r="AP19" s="210">
        <f t="shared" si="24"/>
        <v>48.971639473780186</v>
      </c>
      <c r="AT19" s="210" t="str">
        <v>Y</v>
      </c>
      <c r="AU19" s="210" t="str">
        <v>Y</v>
      </c>
      <c r="AV19" s="210" t="str">
        <v>Y</v>
      </c>
      <c r="AW19" s="210" t="str">
        <v>Y</v>
      </c>
      <c r="AX19" s="210" t="str">
        <v>N</v>
      </c>
      <c r="AY19" s="210" t="str">
        <v>Y</v>
      </c>
      <c r="AZ19" s="210" t="str">
        <v>N</v>
      </c>
      <c r="BA19" s="210" t="str">
        <v>N</v>
      </c>
      <c r="BB19" s="210" t="str">
        <v>N</v>
      </c>
      <c r="BC19" s="210" t="str">
        <v>N</v>
      </c>
      <c r="BD19" s="210" t="str">
        <v>N</v>
      </c>
      <c r="BE19" s="210" t="str">
        <v>Y</v>
      </c>
      <c r="BF19" s="210" t="str">
        <v>N</v>
      </c>
      <c r="BG19" s="210" t="str">
        <v>N</v>
      </c>
      <c r="BH19" s="210" t="str">
        <v>N</v>
      </c>
      <c r="BI19" s="210" t="str">
        <v>N</v>
      </c>
      <c r="BJ19" s="210" t="str">
        <v>N</v>
      </c>
      <c r="BK19" s="210" t="str">
        <v>N</v>
      </c>
      <c r="BL19" s="210" t="str">
        <v>N</v>
      </c>
      <c r="BM19" s="210" t="str">
        <v>N</v>
      </c>
      <c r="BN19" s="210" t="str">
        <v>N</v>
      </c>
      <c r="BO19" s="210" t="str">
        <v>N</v>
      </c>
      <c r="BP19" s="210" t="str">
        <v>N</v>
      </c>
      <c r="BQ19" s="210" t="str">
        <v>N</v>
      </c>
      <c r="BR19" s="210" t="str">
        <v>N</v>
      </c>
      <c r="BS19" s="210" t="str">
        <v>N</v>
      </c>
      <c r="BT19" s="210" t="str">
        <v>N</v>
      </c>
      <c r="BU19" s="210" t="str">
        <v>N</v>
      </c>
      <c r="BV19" s="210" t="str">
        <v>N</v>
      </c>
      <c r="BW19" s="210" t="str">
        <v>N</v>
      </c>
      <c r="BX19" s="210" t="str">
        <v>N</v>
      </c>
      <c r="BY19" s="210" t="str">
        <v>N</v>
      </c>
      <c r="BZ19" s="210" t="str">
        <v>N</v>
      </c>
      <c r="CA19" s="210" t="str">
        <v>N</v>
      </c>
      <c r="CB19" s="210" t="str">
        <v>N</v>
      </c>
      <c r="CC19" s="210" t="str">
        <v>N</v>
      </c>
      <c r="CD19" s="210" t="str">
        <v>N</v>
      </c>
      <c r="CE19" s="210" t="str">
        <v>N</v>
      </c>
      <c r="CF19" s="210" t="str">
        <v>N</v>
      </c>
      <c r="CG19" s="210" t="str">
        <v>N</v>
      </c>
      <c r="CH19" s="210" t="str">
        <v>N</v>
      </c>
      <c r="CI19" s="210" t="str">
        <v>N</v>
      </c>
      <c r="CJ19" s="210" t="str">
        <v>N</v>
      </c>
      <c r="CK19" s="210" t="str">
        <v>N</v>
      </c>
      <c r="CL19" s="210" t="str">
        <v>N</v>
      </c>
      <c r="CM19" s="210" t="str">
        <v>N</v>
      </c>
      <c r="CN19" s="210" t="str">
        <v>N</v>
      </c>
      <c r="CO19" s="1" t="str">
        <v>N</v>
      </c>
      <c r="CP19" s="1" t="str">
        <v>N</v>
      </c>
      <c r="CQ19" s="1" t="str">
        <v>N</v>
      </c>
      <c r="CR19" s="1" t="str">
        <v>N</v>
      </c>
    </row>
    <row r="20" spans="2:96">
      <c r="B20" s="471">
        <v>2020</v>
      </c>
      <c r="C20" s="476">
        <f>SUMPRODUCT(E21:E70,$L$8:$L$57)/50</f>
        <v>0.11005234149770651</v>
      </c>
      <c r="D20" s="484">
        <f>SUMPRODUCT(F20:F69,$L$8:$L$57)/50</f>
        <v>7.8268699324861399E-2</v>
      </c>
      <c r="E20" s="484">
        <v>0.36280000000000001</v>
      </c>
      <c r="F20" s="484">
        <v>0.121</v>
      </c>
      <c r="G20" s="472">
        <v>1</v>
      </c>
      <c r="H20" s="473">
        <v>0.6</v>
      </c>
      <c r="I20" s="474">
        <v>0.2</v>
      </c>
      <c r="J20" s="1">
        <v>0</v>
      </c>
      <c r="K20" s="220">
        <v>13</v>
      </c>
      <c r="L20" s="218">
        <f t="shared" si="25"/>
        <v>0.90572723617771733</v>
      </c>
      <c r="M20" s="206">
        <f t="shared" si="19"/>
        <v>0.8780954309205613</v>
      </c>
      <c r="N20" s="206">
        <f t="shared" si="20"/>
        <v>0.61816491770292581</v>
      </c>
      <c r="O20" s="206">
        <f t="shared" si="3"/>
        <v>0.79531494774796174</v>
      </c>
      <c r="P20" s="207">
        <f t="shared" si="4"/>
        <v>0.55988880241309713</v>
      </c>
      <c r="Q20" s="218">
        <f t="shared" si="0"/>
        <v>2.8461538461538463</v>
      </c>
      <c r="R20" s="206">
        <f t="shared" si="5"/>
        <v>2</v>
      </c>
      <c r="S20" s="206">
        <f t="shared" si="21"/>
        <v>0.84615384615384626</v>
      </c>
      <c r="T20" s="218" cm="1">
        <f t="array" ref="T20">IF(Q20="", "", IF(Q20&lt;1, 0, SUM(EXP(-0.01*_xlfn.SEQUENCE(1,R20)*K20)*(2-EXP(0.00693*_xlfn.SEQUENCE(1, R20)*K20)))))</f>
        <v>1.4141355970707268</v>
      </c>
      <c r="U20" s="206">
        <f t="shared" si="6"/>
        <v>0.39511476351777586</v>
      </c>
      <c r="V20" s="206">
        <f t="shared" si="7"/>
        <v>1.8092503605885026</v>
      </c>
      <c r="W20" s="218" cm="1">
        <f t="array" ref="W20">IF(Q20="", "", IF(Q20&lt;1, 0, SUM(EXP(-0.037*_xlfn.SEQUENCE(1,R20)*K20)*(2-EXP(0.00693*_xlfn.SEQUENCE(1, R20)*K20)))))</f>
        <v>0.86657206225412242</v>
      </c>
      <c r="X20" s="206">
        <f t="shared" si="8"/>
        <v>0.1378513958463797</v>
      </c>
      <c r="Y20" s="207">
        <f t="shared" si="22"/>
        <v>1.004423458100502</v>
      </c>
      <c r="Z20" s="218">
        <f t="shared" si="23"/>
        <v>0.64274963545553121</v>
      </c>
      <c r="AA20" s="218">
        <f t="shared" si="9"/>
        <v>0.51118839273733729</v>
      </c>
      <c r="AB20" s="207">
        <f t="shared" si="10"/>
        <v>0.35986832364665211</v>
      </c>
      <c r="AC20" s="206" cm="1">
        <f t="array" ref="AC20">IF(Q20="", "", IF(Q20&lt;1, 0, SUM(EXP(-0.01*_xlfn.SEQUENCE(1,R20)*K20)*(2-EXP(0.00693*_xlfn.SEQUENCE(1, R20)*K20))*EXP(-0.034*_xlfn.SEQUENCE(1, R20)*K20))))</f>
        <v>0.7668399692238832</v>
      </c>
      <c r="AD20" s="206">
        <f t="shared" si="11"/>
        <v>0.39511476351777586</v>
      </c>
      <c r="AE20" s="206">
        <f t="shared" si="12"/>
        <v>1.1619547327416591</v>
      </c>
      <c r="AF20" s="218" cm="1">
        <f t="array" ref="AF20">IF(Q20="", "", IF(Q20&lt;1, 0, SUM(EXP(-0.037*_xlfn.SEQUENCE(1,R20)*K20)*(2-EXP(0.00693*_xlfn.SEQUENCE(1, R20)*K20))*EXP(-0.034*_xlfn.SEQUENCE(1, R20)*K20))))</f>
        <v>0.48656748752587337</v>
      </c>
      <c r="AG20" s="206">
        <f t="shared" si="13"/>
        <v>3.6604685936125286E-2</v>
      </c>
      <c r="AH20" s="207">
        <f t="shared" si="14"/>
        <v>0.52317217346199862</v>
      </c>
      <c r="AI20" s="218">
        <f t="shared" si="15"/>
        <v>0.67705687449816465</v>
      </c>
      <c r="AJ20" s="226">
        <f t="shared" si="16"/>
        <v>14</v>
      </c>
      <c r="AK20" s="226">
        <f t="shared" si="17"/>
        <v>36</v>
      </c>
      <c r="AL20" s="206" cm="1">
        <f t="array" ref="AL20">IF(AK20=0, "", SUM(EXP(-0.03*_xlfn.SEQUENCE(1,AK20, AJ20))))</f>
        <v>14.681931760765188</v>
      </c>
      <c r="AM20" s="210">
        <f t="shared" si="1"/>
        <v>45.936703212048734</v>
      </c>
      <c r="AN20" s="1">
        <f t="shared" si="18"/>
        <v>1.4928027448937593</v>
      </c>
      <c r="AO20" s="210">
        <f t="shared" si="2"/>
        <v>3.0343583944356753</v>
      </c>
      <c r="AP20" s="210">
        <f t="shared" si="24"/>
        <v>52.005997868215864</v>
      </c>
      <c r="AT20" s="210" t="str">
        <v>Y</v>
      </c>
      <c r="AU20" s="210" t="str">
        <v>N</v>
      </c>
      <c r="AV20" s="210" t="str">
        <v>N</v>
      </c>
      <c r="AW20" s="210" t="str">
        <v>N</v>
      </c>
      <c r="AX20" s="210" t="str">
        <v>N</v>
      </c>
      <c r="AY20" s="210" t="str">
        <v>N</v>
      </c>
      <c r="AZ20" s="210" t="str">
        <v>N</v>
      </c>
      <c r="BA20" s="210" t="str">
        <v>N</v>
      </c>
      <c r="BB20" s="210" t="str">
        <v>N</v>
      </c>
      <c r="BC20" s="210" t="str">
        <v>N</v>
      </c>
      <c r="BD20" s="210" t="str">
        <v>N</v>
      </c>
      <c r="BE20" s="210" t="str">
        <v>N</v>
      </c>
      <c r="BF20" s="210" t="str">
        <v>Y</v>
      </c>
      <c r="BG20" s="210" t="str">
        <v>N</v>
      </c>
      <c r="BH20" s="210" t="str">
        <v>N</v>
      </c>
      <c r="BI20" s="210" t="str">
        <v>N</v>
      </c>
      <c r="BJ20" s="210" t="str">
        <v>N</v>
      </c>
      <c r="BK20" s="210" t="str">
        <v>N</v>
      </c>
      <c r="BL20" s="210" t="str">
        <v>N</v>
      </c>
      <c r="BM20" s="210" t="str">
        <v>N</v>
      </c>
      <c r="BN20" s="210" t="str">
        <v>N</v>
      </c>
      <c r="BO20" s="210" t="str">
        <v>N</v>
      </c>
      <c r="BP20" s="210" t="str">
        <v>N</v>
      </c>
      <c r="BQ20" s="210" t="str">
        <v>N</v>
      </c>
      <c r="BR20" s="210" t="str">
        <v>N</v>
      </c>
      <c r="BS20" s="210" t="str">
        <v>N</v>
      </c>
      <c r="BT20" s="210" t="str">
        <v>N</v>
      </c>
      <c r="BU20" s="210" t="str">
        <v>N</v>
      </c>
      <c r="BV20" s="210" t="str">
        <v>N</v>
      </c>
      <c r="BW20" s="210" t="str">
        <v>N</v>
      </c>
      <c r="BX20" s="210" t="str">
        <v>N</v>
      </c>
      <c r="BY20" s="210" t="str">
        <v>N</v>
      </c>
      <c r="BZ20" s="210" t="str">
        <v>N</v>
      </c>
      <c r="CA20" s="210" t="str">
        <v>N</v>
      </c>
      <c r="CB20" s="210" t="str">
        <v>N</v>
      </c>
      <c r="CC20" s="210" t="str">
        <v>N</v>
      </c>
      <c r="CD20" s="210" t="str">
        <v>N</v>
      </c>
      <c r="CE20" s="210" t="str">
        <v>N</v>
      </c>
      <c r="CF20" s="210" t="str">
        <v>N</v>
      </c>
      <c r="CG20" s="210" t="str">
        <v>N</v>
      </c>
      <c r="CH20" s="210" t="str">
        <v>N</v>
      </c>
      <c r="CI20" s="210" t="str">
        <v>N</v>
      </c>
      <c r="CJ20" s="210" t="str">
        <v>N</v>
      </c>
      <c r="CK20" s="210" t="str">
        <v>N</v>
      </c>
      <c r="CL20" s="210" t="str">
        <v>N</v>
      </c>
      <c r="CM20" s="210" t="str">
        <v>N</v>
      </c>
      <c r="CN20" s="210" t="str">
        <v>N</v>
      </c>
      <c r="CO20" s="1" t="str">
        <v>N</v>
      </c>
      <c r="CP20" s="1" t="str">
        <v>N</v>
      </c>
      <c r="CQ20" s="1" t="str">
        <v>N</v>
      </c>
      <c r="CR20" s="1" t="str">
        <v>N</v>
      </c>
    </row>
    <row r="21" spans="2:96">
      <c r="B21" s="475">
        <v>2021</v>
      </c>
      <c r="C21" s="476">
        <f t="shared" ref="C21:C30" si="26">SUMPRODUCT(E22:E71,$L$8:$L$57)/50</f>
        <v>0.10423196453199214</v>
      </c>
      <c r="D21" s="484">
        <f t="shared" ref="D21:D30" si="27">SUMPRODUCT(F21:F70,$L$8:$L$57)/50</f>
        <v>7.748991275434268E-2</v>
      </c>
      <c r="E21" s="484">
        <f t="shared" ref="E21:E49" si="28">E$20-(B21-B$20)*(E$20-E$50)/(B$50-B$20)</f>
        <v>0.35150666666666669</v>
      </c>
      <c r="F21" s="484">
        <f>F$20*EXP(-0.01*(B21-B$20))</f>
        <v>0.11979602988364933</v>
      </c>
      <c r="G21" s="472">
        <v>0.99</v>
      </c>
      <c r="H21" s="473">
        <v>0.59</v>
      </c>
      <c r="I21" s="474">
        <v>0.2</v>
      </c>
      <c r="J21" s="1">
        <v>0</v>
      </c>
      <c r="K21" s="220">
        <v>14</v>
      </c>
      <c r="L21" s="218">
        <f t="shared" si="25"/>
        <v>0.89811758895114346</v>
      </c>
      <c r="M21" s="206">
        <f t="shared" si="19"/>
        <v>0.86935823539880586</v>
      </c>
      <c r="N21" s="206">
        <f t="shared" si="20"/>
        <v>0.5957107789003212</v>
      </c>
      <c r="O21" s="206">
        <f t="shared" si="3"/>
        <v>0.78078592231119615</v>
      </c>
      <c r="P21" s="207">
        <f t="shared" si="4"/>
        <v>0.53501832845816422</v>
      </c>
      <c r="Q21" s="218">
        <f t="shared" si="0"/>
        <v>2.5714285714285716</v>
      </c>
      <c r="R21" s="206">
        <f t="shared" si="5"/>
        <v>2</v>
      </c>
      <c r="S21" s="206">
        <f t="shared" si="21"/>
        <v>0.57142857142857162</v>
      </c>
      <c r="T21" s="218" cm="1">
        <f t="array" ref="T21">IF(Q21="", "", IF(Q21&lt;1, 0, SUM(EXP(-0.01*_xlfn.SEQUENCE(1,R21)*K21)*(2-EXP(0.00693*_xlfn.SEQUENCE(1, R21)*K21)))))</f>
        <v>1.3747224694991622</v>
      </c>
      <c r="U21" s="206">
        <f t="shared" si="6"/>
        <v>0.24860967660823599</v>
      </c>
      <c r="V21" s="206">
        <f t="shared" si="7"/>
        <v>1.6233321461073982</v>
      </c>
      <c r="W21" s="218" cm="1">
        <f t="array" ref="W21">IF(Q21="", "", IF(Q21&lt;1, 0, SUM(EXP(-0.037*_xlfn.SEQUENCE(1,R21)*K21)*(2-EXP(0.00693*_xlfn.SEQUENCE(1, R21)*K21)))))</f>
        <v>0.81389579316298488</v>
      </c>
      <c r="X21" s="206">
        <f t="shared" si="8"/>
        <v>7.9988598256962182E-2</v>
      </c>
      <c r="Y21" s="207">
        <f t="shared" si="22"/>
        <v>0.89388439141994702</v>
      </c>
      <c r="Z21" s="218">
        <f t="shared" si="23"/>
        <v>0.62126348224746164</v>
      </c>
      <c r="AA21" s="218">
        <f t="shared" si="9"/>
        <v>0.48507378098484977</v>
      </c>
      <c r="AB21" s="207">
        <f t="shared" si="10"/>
        <v>0.33238734980413531</v>
      </c>
      <c r="AC21" s="206" cm="1">
        <f t="array" ref="AC21">IF(Q21="", "", IF(Q21&lt;1, 0, SUM(EXP(-0.01*_xlfn.SEQUENCE(1,R21)*K21)*(2-EXP(0.00693*_xlfn.SEQUENCE(1, R21)*K21))*EXP(-0.034*_xlfn.SEQUENCE(1, R21)*K21))))</f>
        <v>0.71431446894824657</v>
      </c>
      <c r="AD21" s="206">
        <f t="shared" si="11"/>
        <v>0.24860967660823599</v>
      </c>
      <c r="AE21" s="206">
        <f t="shared" si="12"/>
        <v>0.96292414555648254</v>
      </c>
      <c r="AF21" s="218" cm="1">
        <f t="array" ref="AF21">IF(Q21="", "", IF(Q21&lt;1, 0, SUM(EXP(-0.037*_xlfn.SEQUENCE(1,R21)*K21)*(2-EXP(0.00693*_xlfn.SEQUENCE(1, R21)*K21))*EXP(-0.034*_xlfn.SEQUENCE(1, R21)*K21))))</f>
        <v>0.44002521477321715</v>
      </c>
      <c r="AG21" s="206">
        <f t="shared" si="13"/>
        <v>1.9180307520649496E-2</v>
      </c>
      <c r="AH21" s="207">
        <f t="shared" si="14"/>
        <v>0.45920552229386663</v>
      </c>
      <c r="AI21" s="218">
        <f t="shared" si="15"/>
        <v>0.65704681981505675</v>
      </c>
      <c r="AJ21" s="226">
        <f t="shared" si="16"/>
        <v>15</v>
      </c>
      <c r="AK21" s="226">
        <f t="shared" si="17"/>
        <v>35</v>
      </c>
      <c r="AL21" s="206" cm="1">
        <f t="array" ref="AL21">IF(AK21=0, "", SUM(EXP(-0.03*_xlfn.SEQUENCE(1,AK21, AJ21))))</f>
        <v>14.024884940950129</v>
      </c>
      <c r="AM21" s="210">
        <f t="shared" si="1"/>
        <v>44.473553851438716</v>
      </c>
      <c r="AN21" s="1">
        <f t="shared" si="18"/>
        <v>0.55004290290402269</v>
      </c>
      <c r="AO21" s="210">
        <f t="shared" si="2"/>
        <v>2.9446795510655241</v>
      </c>
      <c r="AP21" s="210">
        <f t="shared" si="24"/>
        <v>54.950677419281391</v>
      </c>
      <c r="AT21" s="210" t="str">
        <v>Y</v>
      </c>
      <c r="AU21" s="210" t="str">
        <v>Y</v>
      </c>
      <c r="AV21" s="210" t="str">
        <v>N</v>
      </c>
      <c r="AW21" s="210" t="str">
        <v>N</v>
      </c>
      <c r="AX21" s="210" t="str">
        <v>N</v>
      </c>
      <c r="AY21" s="210" t="str">
        <v>N</v>
      </c>
      <c r="AZ21" s="210" t="str">
        <v>Y</v>
      </c>
      <c r="BA21" s="210" t="str">
        <v>N</v>
      </c>
      <c r="BB21" s="210" t="str">
        <v>N</v>
      </c>
      <c r="BC21" s="210" t="str">
        <v>N</v>
      </c>
      <c r="BD21" s="210" t="str">
        <v>N</v>
      </c>
      <c r="BE21" s="210" t="str">
        <v>N</v>
      </c>
      <c r="BF21" s="210" t="str">
        <v>N</v>
      </c>
      <c r="BG21" s="210" t="str">
        <v>Y</v>
      </c>
      <c r="BH21" s="210" t="str">
        <v>N</v>
      </c>
      <c r="BI21" s="210" t="str">
        <v>N</v>
      </c>
      <c r="BJ21" s="210" t="str">
        <v>N</v>
      </c>
      <c r="BK21" s="210" t="str">
        <v>N</v>
      </c>
      <c r="BL21" s="210" t="str">
        <v>N</v>
      </c>
      <c r="BM21" s="210" t="str">
        <v>N</v>
      </c>
      <c r="BN21" s="210" t="str">
        <v>N</v>
      </c>
      <c r="BO21" s="210" t="str">
        <v>N</v>
      </c>
      <c r="BP21" s="210" t="str">
        <v>N</v>
      </c>
      <c r="BQ21" s="210" t="str">
        <v>N</v>
      </c>
      <c r="BR21" s="210" t="str">
        <v>N</v>
      </c>
      <c r="BS21" s="210" t="str">
        <v>N</v>
      </c>
      <c r="BT21" s="210" t="str">
        <v>N</v>
      </c>
      <c r="BU21" s="210" t="str">
        <v>N</v>
      </c>
      <c r="BV21" s="210" t="str">
        <v>N</v>
      </c>
      <c r="BW21" s="210" t="str">
        <v>N</v>
      </c>
      <c r="BX21" s="210" t="str">
        <v>N</v>
      </c>
      <c r="BY21" s="210" t="str">
        <v>N</v>
      </c>
      <c r="BZ21" s="210" t="str">
        <v>N</v>
      </c>
      <c r="CA21" s="210" t="str">
        <v>N</v>
      </c>
      <c r="CB21" s="210" t="str">
        <v>N</v>
      </c>
      <c r="CC21" s="210" t="str">
        <v>N</v>
      </c>
      <c r="CD21" s="210" t="str">
        <v>N</v>
      </c>
      <c r="CE21" s="210" t="str">
        <v>N</v>
      </c>
      <c r="CF21" s="210" t="str">
        <v>N</v>
      </c>
      <c r="CG21" s="210" t="str">
        <v>N</v>
      </c>
      <c r="CH21" s="210" t="str">
        <v>N</v>
      </c>
      <c r="CI21" s="210" t="str">
        <v>N</v>
      </c>
      <c r="CJ21" s="210" t="str">
        <v>N</v>
      </c>
      <c r="CK21" s="210" t="str">
        <v>N</v>
      </c>
      <c r="CL21" s="210" t="str">
        <v>N</v>
      </c>
      <c r="CM21" s="210" t="str">
        <v>N</v>
      </c>
      <c r="CN21" s="210" t="str">
        <v>N</v>
      </c>
      <c r="CO21" s="1" t="str">
        <v>N</v>
      </c>
      <c r="CP21" s="1" t="str">
        <v>N</v>
      </c>
      <c r="CQ21" s="1" t="str">
        <v>N</v>
      </c>
      <c r="CR21" s="1" t="str">
        <v>N</v>
      </c>
    </row>
    <row r="22" spans="2:96">
      <c r="B22" s="475">
        <v>2022</v>
      </c>
      <c r="C22" s="476">
        <f t="shared" si="26"/>
        <v>9.8587179002196421E-2</v>
      </c>
      <c r="D22" s="484">
        <f t="shared" si="27"/>
        <v>7.6718875239674508E-2</v>
      </c>
      <c r="E22" s="484">
        <f t="shared" si="28"/>
        <v>0.34021333333333337</v>
      </c>
      <c r="F22" s="484">
        <f t="shared" ref="F22:F79" si="29">F$20*EXP(-0.01*(B22-B$20))</f>
        <v>0.11860403947011738</v>
      </c>
      <c r="G22" s="472">
        <v>0.97</v>
      </c>
      <c r="H22" s="473">
        <v>0.56999999999999995</v>
      </c>
      <c r="I22" s="474">
        <v>0.2</v>
      </c>
      <c r="J22" s="1">
        <v>0</v>
      </c>
      <c r="K22" s="220">
        <v>15</v>
      </c>
      <c r="L22" s="218">
        <f t="shared" si="25"/>
        <v>0.89045502372018581</v>
      </c>
      <c r="M22" s="206">
        <f t="shared" si="19"/>
        <v>0.86070797642505781</v>
      </c>
      <c r="N22" s="206">
        <f t="shared" si="20"/>
        <v>0.57407226119643606</v>
      </c>
      <c r="O22" s="206">
        <f t="shared" si="3"/>
        <v>0.766421741563728</v>
      </c>
      <c r="P22" s="207">
        <f t="shared" si="4"/>
        <v>0.51118552896077318</v>
      </c>
      <c r="Q22" s="218">
        <f t="shared" si="0"/>
        <v>2.3333333333333335</v>
      </c>
      <c r="R22" s="206">
        <f t="shared" si="5"/>
        <v>2</v>
      </c>
      <c r="S22" s="206">
        <f t="shared" si="21"/>
        <v>0.33333333333333348</v>
      </c>
      <c r="T22" s="218" cm="1">
        <f t="array" ref="T22">IF(Q22="", "", IF(Q22&lt;1, 0, SUM(EXP(-0.01*_xlfn.SEQUENCE(1,R22)*K22)*(2-EXP(0.00693*_xlfn.SEQUENCE(1, R22)*K22)))))</f>
        <v>1.3360442393366543</v>
      </c>
      <c r="U22" s="206">
        <f t="shared" si="6"/>
        <v>0.13476275550071332</v>
      </c>
      <c r="V22" s="206">
        <f t="shared" si="7"/>
        <v>1.4708069948373677</v>
      </c>
      <c r="W22" s="218" cm="1">
        <f t="array" ref="W22">IF(Q22="", "", IF(Q22&lt;1, 0, SUM(EXP(-0.037*_xlfn.SEQUENCE(1,R22)*K22)*(2-EXP(0.00693*_xlfn.SEQUENCE(1, R22)*K22)))))</f>
        <v>0.76458669179711869</v>
      </c>
      <c r="X22" s="206">
        <f t="shared" si="8"/>
        <v>3.9985459110921578E-2</v>
      </c>
      <c r="Y22" s="207">
        <f t="shared" si="22"/>
        <v>0.80457215090804024</v>
      </c>
      <c r="Z22" s="218">
        <f t="shared" si="23"/>
        <v>0.6004955788122659</v>
      </c>
      <c r="AA22" s="218">
        <f t="shared" si="9"/>
        <v>0.46023286731461571</v>
      </c>
      <c r="AB22" s="207">
        <f t="shared" si="10"/>
        <v>0.30696465009375379</v>
      </c>
      <c r="AC22" s="206" cm="1">
        <f t="array" ref="AC22">IF(Q22="", "", IF(Q22&lt;1, 0, SUM(EXP(-0.01*_xlfn.SEQUENCE(1,R22)*K22)*(2-EXP(0.00693*_xlfn.SEQUENCE(1, R22)*K22))*EXP(-0.034*_xlfn.SEQUENCE(1, R22)*K22))))</f>
        <v>0.66563585782028345</v>
      </c>
      <c r="AD22" s="206">
        <f t="shared" si="11"/>
        <v>0.13476275550071332</v>
      </c>
      <c r="AE22" s="206">
        <f t="shared" si="12"/>
        <v>0.80039861332099682</v>
      </c>
      <c r="AF22" s="218" cm="1">
        <f t="array" ref="AF22">IF(Q22="", "", IF(Q22&lt;1, 0, SUM(EXP(-0.037*_xlfn.SEQUENCE(1,R22)*K22)*(2-EXP(0.00693*_xlfn.SEQUENCE(1, R22)*K22))*EXP(-0.034*_xlfn.SEQUENCE(1, R22)*K22))))</f>
        <v>0.39833982724651429</v>
      </c>
      <c r="AG22" s="206">
        <f t="shared" si="13"/>
        <v>8.6582780715203193E-3</v>
      </c>
      <c r="AH22" s="207">
        <f t="shared" si="14"/>
        <v>0.4069981053180346</v>
      </c>
      <c r="AI22" s="218">
        <f t="shared" si="15"/>
        <v>0.63762815162177333</v>
      </c>
      <c r="AJ22" s="226">
        <f t="shared" si="16"/>
        <v>16</v>
      </c>
      <c r="AK22" s="226">
        <f t="shared" si="17"/>
        <v>34</v>
      </c>
      <c r="AL22" s="206" cm="1">
        <f t="array" ref="AL22">IF(AK22=0, "", SUM(EXP(-0.03*_xlfn.SEQUENCE(1,AK22, AJ22))))</f>
        <v>13.387256789328356</v>
      </c>
      <c r="AM22" s="210">
        <f t="shared" si="1"/>
        <v>43.077323863285862</v>
      </c>
      <c r="AN22" s="1">
        <f t="shared" si="18"/>
        <v>7.6641828395574652E-2</v>
      </c>
      <c r="AO22" s="210">
        <f t="shared" si="2"/>
        <v>2.8576511180631639</v>
      </c>
      <c r="AP22" s="210">
        <f t="shared" si="24"/>
        <v>57.808328537344558</v>
      </c>
      <c r="AT22" s="210" t="str">
        <v>Y</v>
      </c>
      <c r="AU22" s="210" t="str">
        <v>N</v>
      </c>
      <c r="AV22" s="210" t="str">
        <v>Y</v>
      </c>
      <c r="AW22" s="210" t="str">
        <v>N</v>
      </c>
      <c r="AX22" s="210" t="str">
        <v>Y</v>
      </c>
      <c r="AY22" s="210" t="str">
        <v>N</v>
      </c>
      <c r="AZ22" s="210" t="str">
        <v>N</v>
      </c>
      <c r="BA22" s="210" t="str">
        <v>N</v>
      </c>
      <c r="BB22" s="210" t="str">
        <v>N</v>
      </c>
      <c r="BC22" s="210" t="str">
        <v>N</v>
      </c>
      <c r="BD22" s="210" t="str">
        <v>N</v>
      </c>
      <c r="BE22" s="210" t="str">
        <v>N</v>
      </c>
      <c r="BF22" s="210" t="str">
        <v>N</v>
      </c>
      <c r="BG22" s="210" t="str">
        <v>N</v>
      </c>
      <c r="BH22" s="210" t="str">
        <v>Y</v>
      </c>
      <c r="BI22" s="210" t="str">
        <v>N</v>
      </c>
      <c r="BJ22" s="210" t="str">
        <v>N</v>
      </c>
      <c r="BK22" s="210" t="str">
        <v>N</v>
      </c>
      <c r="BL22" s="210" t="str">
        <v>N</v>
      </c>
      <c r="BM22" s="210" t="str">
        <v>N</v>
      </c>
      <c r="BN22" s="210" t="str">
        <v>N</v>
      </c>
      <c r="BO22" s="210" t="str">
        <v>N</v>
      </c>
      <c r="BP22" s="210" t="str">
        <v>N</v>
      </c>
      <c r="BQ22" s="210" t="str">
        <v>N</v>
      </c>
      <c r="BR22" s="210" t="str">
        <v>N</v>
      </c>
      <c r="BS22" s="210" t="str">
        <v>N</v>
      </c>
      <c r="BT22" s="210" t="str">
        <v>N</v>
      </c>
      <c r="BU22" s="210" t="str">
        <v>N</v>
      </c>
      <c r="BV22" s="210" t="str">
        <v>N</v>
      </c>
      <c r="BW22" s="210" t="str">
        <v>N</v>
      </c>
      <c r="BX22" s="210" t="str">
        <v>N</v>
      </c>
      <c r="BY22" s="210" t="str">
        <v>N</v>
      </c>
      <c r="BZ22" s="210" t="str">
        <v>N</v>
      </c>
      <c r="CA22" s="210" t="str">
        <v>N</v>
      </c>
      <c r="CB22" s="210" t="str">
        <v>N</v>
      </c>
      <c r="CC22" s="210" t="str">
        <v>N</v>
      </c>
      <c r="CD22" s="210" t="str">
        <v>N</v>
      </c>
      <c r="CE22" s="210" t="str">
        <v>N</v>
      </c>
      <c r="CF22" s="210" t="str">
        <v>N</v>
      </c>
      <c r="CG22" s="210" t="str">
        <v>N</v>
      </c>
      <c r="CH22" s="210" t="str">
        <v>N</v>
      </c>
      <c r="CI22" s="210" t="str">
        <v>N</v>
      </c>
      <c r="CJ22" s="210" t="str">
        <v>N</v>
      </c>
      <c r="CK22" s="210" t="str">
        <v>N</v>
      </c>
      <c r="CL22" s="210" t="str">
        <v>N</v>
      </c>
      <c r="CM22" s="210" t="str">
        <v>N</v>
      </c>
      <c r="CN22" s="210" t="str">
        <v>N</v>
      </c>
      <c r="CO22" s="1" t="str">
        <v>N</v>
      </c>
      <c r="CP22" s="1" t="str">
        <v>N</v>
      </c>
      <c r="CQ22" s="1" t="str">
        <v>N</v>
      </c>
      <c r="CR22" s="1" t="str">
        <v>N</v>
      </c>
    </row>
    <row r="23" spans="2:96">
      <c r="B23" s="475">
        <v>2023</v>
      </c>
      <c r="C23" s="476">
        <f t="shared" si="26"/>
        <v>9.3119891956115725E-2</v>
      </c>
      <c r="D23" s="484">
        <f t="shared" si="27"/>
        <v>7.5955509676462904E-2</v>
      </c>
      <c r="E23" s="484">
        <f t="shared" si="28"/>
        <v>0.32891999999999999</v>
      </c>
      <c r="F23" s="484">
        <f t="shared" si="29"/>
        <v>0.11742390955936949</v>
      </c>
      <c r="G23" s="472">
        <v>0.96</v>
      </c>
      <c r="H23" s="473">
        <v>0.56000000000000005</v>
      </c>
      <c r="I23" s="474">
        <v>0.2</v>
      </c>
      <c r="J23" s="1">
        <v>0</v>
      </c>
      <c r="K23" s="220">
        <v>16</v>
      </c>
      <c r="L23" s="218">
        <f t="shared" si="25"/>
        <v>0.88273917248944267</v>
      </c>
      <c r="M23" s="206">
        <f t="shared" si="19"/>
        <v>0.85214378896621135</v>
      </c>
      <c r="N23" s="206">
        <f t="shared" si="20"/>
        <v>0.55321973808087388</v>
      </c>
      <c r="O23" s="206">
        <f t="shared" si="3"/>
        <v>0.75222070311405165</v>
      </c>
      <c r="P23" s="207">
        <f t="shared" si="4"/>
        <v>0.48834873379833682</v>
      </c>
      <c r="Q23" s="218">
        <f t="shared" si="0"/>
        <v>2.125</v>
      </c>
      <c r="R23" s="206">
        <f t="shared" si="5"/>
        <v>2</v>
      </c>
      <c r="S23" s="206">
        <f t="shared" si="21"/>
        <v>0.125</v>
      </c>
      <c r="T23" s="218" cm="1">
        <f t="array" ref="T23">IF(Q23="", "", IF(Q23&lt;1, 0, SUM(EXP(-0.01*_xlfn.SEQUENCE(1,R23)*K23)*(2-EXP(0.00693*_xlfn.SEQUENCE(1, R23)*K23)))))</f>
        <v>1.2980874431350138</v>
      </c>
      <c r="U23" s="206">
        <f t="shared" si="6"/>
        <v>4.6822942011636851E-2</v>
      </c>
      <c r="V23" s="206">
        <f t="shared" si="7"/>
        <v>1.3449103851466506</v>
      </c>
      <c r="W23" s="218" cm="1">
        <f t="array" ref="W23">IF(Q23="", "", IF(Q23&lt;1, 0, SUM(EXP(-0.037*_xlfn.SEQUENCE(1,R23)*K23)*(2-EXP(0.00693*_xlfn.SEQUENCE(1, R23)*K23)))))</f>
        <v>0.71841672520752586</v>
      </c>
      <c r="X23" s="206">
        <f t="shared" si="8"/>
        <v>1.2811885525098746E-2</v>
      </c>
      <c r="Y23" s="207">
        <f t="shared" si="22"/>
        <v>0.73122861073262457</v>
      </c>
      <c r="Z23" s="218">
        <f t="shared" si="23"/>
        <v>0.58042191514074237</v>
      </c>
      <c r="AA23" s="218">
        <f t="shared" si="9"/>
        <v>0.43660538110997366</v>
      </c>
      <c r="AB23" s="207">
        <f t="shared" si="10"/>
        <v>0.28344830732778725</v>
      </c>
      <c r="AC23" s="206" cm="1">
        <f t="array" ref="AC23">IF(Q23="", "", IF(Q23&lt;1, 0, SUM(EXP(-0.01*_xlfn.SEQUENCE(1,R23)*K23)*(2-EXP(0.00693*_xlfn.SEQUENCE(1, R23)*K23))*EXP(-0.034*_xlfn.SEQUENCE(1, R23)*K23))))</f>
        <v>0.62050220857729943</v>
      </c>
      <c r="AD23" s="206">
        <f t="shared" si="11"/>
        <v>4.6822942011636851E-2</v>
      </c>
      <c r="AE23" s="206">
        <f t="shared" si="12"/>
        <v>0.66732515058893627</v>
      </c>
      <c r="AF23" s="218" cm="1">
        <f t="array" ref="AF23">IF(Q23="", "", IF(Q23&lt;1, 0, SUM(EXP(-0.037*_xlfn.SEQUENCE(1,R23)*K23)*(2-EXP(0.00693*_xlfn.SEQUENCE(1, R23)*K23))*EXP(-0.034*_xlfn.SEQUENCE(1, R23)*K23))))</f>
        <v>0.36095582082880234</v>
      </c>
      <c r="AG23" s="206">
        <f t="shared" si="13"/>
        <v>2.5052118372551734E-3</v>
      </c>
      <c r="AH23" s="207">
        <f t="shared" si="14"/>
        <v>0.3634610326660575</v>
      </c>
      <c r="AI23" s="218">
        <f t="shared" si="15"/>
        <v>0.61878339180614084</v>
      </c>
      <c r="AJ23" s="226">
        <f t="shared" si="16"/>
        <v>17</v>
      </c>
      <c r="AK23" s="226">
        <f t="shared" si="17"/>
        <v>33</v>
      </c>
      <c r="AL23" s="206" cm="1">
        <f t="array" ref="AL23">IF(AK23=0, "", SUM(EXP(-0.03*_xlfn.SEQUENCE(1,AK23, AJ23))))</f>
        <v>12.768473397522214</v>
      </c>
      <c r="AM23" s="210">
        <f t="shared" si="1"/>
        <v>37.454016212489037</v>
      </c>
      <c r="AN23" s="1">
        <f t="shared" si="18"/>
        <v>0.53633005509867981</v>
      </c>
      <c r="AO23" s="210">
        <f t="shared" si="2"/>
        <v>2.7731947639642978</v>
      </c>
      <c r="AP23" s="210">
        <f t="shared" si="24"/>
        <v>60.581523301308856</v>
      </c>
      <c r="AT23" s="210" t="str">
        <v>Y</v>
      </c>
      <c r="AU23" s="210" t="str">
        <v>Y</v>
      </c>
      <c r="AV23" s="210" t="str">
        <v>N</v>
      </c>
      <c r="AW23" s="210" t="str">
        <v>Y</v>
      </c>
      <c r="AX23" s="210" t="str">
        <v>N</v>
      </c>
      <c r="AY23" s="210" t="str">
        <v>N</v>
      </c>
      <c r="AZ23" s="210" t="str">
        <v>N</v>
      </c>
      <c r="BA23" s="210" t="str">
        <v>Y</v>
      </c>
      <c r="BB23" s="210" t="str">
        <v>N</v>
      </c>
      <c r="BC23" s="210" t="str">
        <v>N</v>
      </c>
      <c r="BD23" s="210" t="str">
        <v>N</v>
      </c>
      <c r="BE23" s="210" t="str">
        <v>N</v>
      </c>
      <c r="BF23" s="210" t="str">
        <v>N</v>
      </c>
      <c r="BG23" s="210" t="str">
        <v>N</v>
      </c>
      <c r="BH23" s="210" t="str">
        <v>N</v>
      </c>
      <c r="BI23" s="210" t="str">
        <v>Y</v>
      </c>
      <c r="BJ23" s="210" t="str">
        <v>N</v>
      </c>
      <c r="BK23" s="210" t="str">
        <v>N</v>
      </c>
      <c r="BL23" s="210" t="str">
        <v>N</v>
      </c>
      <c r="BM23" s="210" t="str">
        <v>N</v>
      </c>
      <c r="BN23" s="210" t="str">
        <v>N</v>
      </c>
      <c r="BO23" s="210" t="str">
        <v>N</v>
      </c>
      <c r="BP23" s="210" t="str">
        <v>N</v>
      </c>
      <c r="BQ23" s="210" t="str">
        <v>N</v>
      </c>
      <c r="BR23" s="210" t="str">
        <v>N</v>
      </c>
      <c r="BS23" s="210" t="str">
        <v>N</v>
      </c>
      <c r="BT23" s="210" t="str">
        <v>N</v>
      </c>
      <c r="BU23" s="210" t="str">
        <v>N</v>
      </c>
      <c r="BV23" s="210" t="str">
        <v>N</v>
      </c>
      <c r="BW23" s="210" t="str">
        <v>N</v>
      </c>
      <c r="BX23" s="210" t="str">
        <v>N</v>
      </c>
      <c r="BY23" s="210" t="str">
        <v>N</v>
      </c>
      <c r="BZ23" s="210" t="str">
        <v>N</v>
      </c>
      <c r="CA23" s="210" t="str">
        <v>N</v>
      </c>
      <c r="CB23" s="210" t="str">
        <v>N</v>
      </c>
      <c r="CC23" s="210" t="str">
        <v>N</v>
      </c>
      <c r="CD23" s="210" t="str">
        <v>N</v>
      </c>
      <c r="CE23" s="210" t="str">
        <v>N</v>
      </c>
      <c r="CF23" s="210" t="str">
        <v>N</v>
      </c>
      <c r="CG23" s="210" t="str">
        <v>N</v>
      </c>
      <c r="CH23" s="210" t="str">
        <v>N</v>
      </c>
      <c r="CI23" s="210" t="str">
        <v>N</v>
      </c>
      <c r="CJ23" s="210" t="str">
        <v>N</v>
      </c>
      <c r="CK23" s="210" t="str">
        <v>N</v>
      </c>
      <c r="CL23" s="210" t="str">
        <v>N</v>
      </c>
      <c r="CM23" s="210" t="str">
        <v>N</v>
      </c>
      <c r="CN23" s="210" t="str">
        <v>N</v>
      </c>
      <c r="CO23" s="1" t="str">
        <v>N</v>
      </c>
      <c r="CP23" s="1" t="str">
        <v>N</v>
      </c>
      <c r="CQ23" s="1" t="str">
        <v>N</v>
      </c>
      <c r="CR23" s="1" t="str">
        <v>N</v>
      </c>
    </row>
    <row r="24" spans="2:96">
      <c r="B24" s="475">
        <v>2024</v>
      </c>
      <c r="C24" s="476">
        <f t="shared" si="26"/>
        <v>8.7831997271392501E-2</v>
      </c>
      <c r="D24" s="484">
        <f t="shared" si="27"/>
        <v>7.5199739727515438E-2</v>
      </c>
      <c r="E24" s="484">
        <f t="shared" si="28"/>
        <v>0.31762666666666667</v>
      </c>
      <c r="F24" s="484">
        <f t="shared" si="29"/>
        <v>0.11625552213743109</v>
      </c>
      <c r="G24" s="472">
        <v>0.95</v>
      </c>
      <c r="H24" s="473">
        <v>0.55000000000000004</v>
      </c>
      <c r="I24" s="474">
        <v>0.2</v>
      </c>
      <c r="J24" s="1">
        <v>0</v>
      </c>
      <c r="K24" s="220">
        <v>17</v>
      </c>
      <c r="L24" s="218">
        <f t="shared" si="25"/>
        <v>0.87496966470444759</v>
      </c>
      <c r="M24" s="206">
        <f t="shared" si="19"/>
        <v>0.8436648165963837</v>
      </c>
      <c r="N24" s="206">
        <f t="shared" si="20"/>
        <v>0.53312465919259211</v>
      </c>
      <c r="O24" s="206">
        <f t="shared" si="3"/>
        <v>0.73818112170027717</v>
      </c>
      <c r="P24" s="207">
        <f t="shared" si="4"/>
        <v>0.4664679042994152</v>
      </c>
      <c r="Q24" s="218">
        <f t="shared" si="0"/>
        <v>1.9411764705882355</v>
      </c>
      <c r="R24" s="206">
        <f t="shared" si="5"/>
        <v>1</v>
      </c>
      <c r="S24" s="206">
        <f t="shared" si="21"/>
        <v>0.9411764705882355</v>
      </c>
      <c r="T24" s="218" cm="1">
        <f t="array" ref="T24">IF(Q24="", "", IF(Q24&lt;1, 0, SUM(EXP(-0.01*_xlfn.SEQUENCE(1,R24)*K24)*(2-EXP(0.00693*_xlfn.SEQUENCE(1, R24)*K24)))))</f>
        <v>0.73818112170027717</v>
      </c>
      <c r="U24" s="206">
        <f t="shared" si="6"/>
        <v>0.49191317520640893</v>
      </c>
      <c r="V24" s="206">
        <f t="shared" si="7"/>
        <v>1.2300942969066861</v>
      </c>
      <c r="W24" s="218" cm="1">
        <f t="array" ref="W24">IF(Q24="", "", IF(Q24&lt;1, 0, SUM(EXP(-0.037*_xlfn.SEQUENCE(1,R24)*K24)*(2-EXP(0.00693*_xlfn.SEQUENCE(1, R24)*K24)))))</f>
        <v>0.4664679042994152</v>
      </c>
      <c r="X24" s="206">
        <f t="shared" si="8"/>
        <v>0.19642923274890375</v>
      </c>
      <c r="Y24" s="207">
        <f t="shared" si="22"/>
        <v>0.66289713704831899</v>
      </c>
      <c r="Z24" s="218">
        <f t="shared" si="23"/>
        <v>0.56101928384217048</v>
      </c>
      <c r="AA24" s="218">
        <f t="shared" si="9"/>
        <v>0.41413384424209959</v>
      </c>
      <c r="AB24" s="207">
        <f t="shared" si="10"/>
        <v>0.26169748960541606</v>
      </c>
      <c r="AC24" s="206" cm="1">
        <f t="array" ref="AC24">IF(Q24="", "", IF(Q24&lt;1, 0, SUM(EXP(-0.01*_xlfn.SEQUENCE(1,R24)*K24)*(2-EXP(0.00693*_xlfn.SEQUENCE(1, R24)*K24))*EXP(-0.034*_xlfn.SEQUENCE(1, R24)*K24))))</f>
        <v>0.41413384424209959</v>
      </c>
      <c r="AD24" s="206">
        <f t="shared" si="11"/>
        <v>0.49191317520640893</v>
      </c>
      <c r="AE24" s="206">
        <f t="shared" si="12"/>
        <v>0.90604701944850852</v>
      </c>
      <c r="AF24" s="218" cm="1">
        <f t="array" ref="AF24">IF(Q24="", "", IF(Q24&lt;1, 0, SUM(EXP(-0.037*_xlfn.SEQUENCE(1,R24)*K24)*(2-EXP(0.00693*_xlfn.SEQUENCE(1, R24)*K24))*EXP(-0.034*_xlfn.SEQUENCE(1, R24)*K24))))</f>
        <v>0.26169748960541606</v>
      </c>
      <c r="AG24" s="206">
        <f t="shared" si="13"/>
        <v>6.1824654668394485E-2</v>
      </c>
      <c r="AH24" s="207">
        <f t="shared" si="14"/>
        <v>0.32352214427381054</v>
      </c>
      <c r="AI24" s="218">
        <f t="shared" si="15"/>
        <v>0.6004955788122659</v>
      </c>
      <c r="AJ24" s="226">
        <f t="shared" si="16"/>
        <v>18</v>
      </c>
      <c r="AK24" s="226">
        <f t="shared" si="17"/>
        <v>32</v>
      </c>
      <c r="AL24" s="206" cm="1">
        <f t="array" ref="AL24">IF(AK24=0, "", SUM(EXP(-0.03*_xlfn.SEQUENCE(1,AK24, AJ24))))</f>
        <v>12.167977818709948</v>
      </c>
      <c r="AM24" s="210">
        <f t="shared" si="1"/>
        <v>36.871267960115048</v>
      </c>
      <c r="AN24" s="1">
        <f t="shared" si="18"/>
        <v>3.3892773327372652</v>
      </c>
      <c r="AO24" s="210">
        <f t="shared" si="2"/>
        <v>2.6912344723492621</v>
      </c>
      <c r="AP24" s="210">
        <f t="shared" si="24"/>
        <v>63.272757773658121</v>
      </c>
      <c r="AT24" s="210" t="str">
        <v>Y</v>
      </c>
      <c r="AU24" s="210" t="str">
        <v>N</v>
      </c>
      <c r="AV24" s="210" t="str">
        <v>N</v>
      </c>
      <c r="AW24" s="210" t="str">
        <v>N</v>
      </c>
      <c r="AX24" s="210" t="str">
        <v>N</v>
      </c>
      <c r="AY24" s="210" t="str">
        <v>N</v>
      </c>
      <c r="AZ24" s="210" t="str">
        <v>N</v>
      </c>
      <c r="BA24" s="210" t="str">
        <v>N</v>
      </c>
      <c r="BB24" s="210" t="str">
        <v>N</v>
      </c>
      <c r="BC24" s="210" t="str">
        <v>N</v>
      </c>
      <c r="BD24" s="210" t="str">
        <v>N</v>
      </c>
      <c r="BE24" s="210" t="str">
        <v>N</v>
      </c>
      <c r="BF24" s="210" t="str">
        <v>N</v>
      </c>
      <c r="BG24" s="210" t="str">
        <v>N</v>
      </c>
      <c r="BH24" s="210" t="str">
        <v>N</v>
      </c>
      <c r="BI24" s="210" t="str">
        <v>N</v>
      </c>
      <c r="BJ24" s="210" t="str">
        <v>Y</v>
      </c>
      <c r="BK24" s="210" t="str">
        <v>N</v>
      </c>
      <c r="BL24" s="210" t="str">
        <v>N</v>
      </c>
      <c r="BM24" s="210" t="str">
        <v>N</v>
      </c>
      <c r="BN24" s="210" t="str">
        <v>N</v>
      </c>
      <c r="BO24" s="210" t="str">
        <v>N</v>
      </c>
      <c r="BP24" s="210" t="str">
        <v>N</v>
      </c>
      <c r="BQ24" s="210" t="str">
        <v>N</v>
      </c>
      <c r="BR24" s="210" t="str">
        <v>N</v>
      </c>
      <c r="BS24" s="210" t="str">
        <v>N</v>
      </c>
      <c r="BT24" s="210" t="str">
        <v>N</v>
      </c>
      <c r="BU24" s="210" t="str">
        <v>N</v>
      </c>
      <c r="BV24" s="210" t="str">
        <v>N</v>
      </c>
      <c r="BW24" s="210" t="str">
        <v>N</v>
      </c>
      <c r="BX24" s="210" t="str">
        <v>N</v>
      </c>
      <c r="BY24" s="210" t="str">
        <v>N</v>
      </c>
      <c r="BZ24" s="210" t="str">
        <v>N</v>
      </c>
      <c r="CA24" s="210" t="str">
        <v>N</v>
      </c>
      <c r="CB24" s="210" t="str">
        <v>N</v>
      </c>
      <c r="CC24" s="210" t="str">
        <v>N</v>
      </c>
      <c r="CD24" s="210" t="str">
        <v>N</v>
      </c>
      <c r="CE24" s="210" t="str">
        <v>N</v>
      </c>
      <c r="CF24" s="210" t="str">
        <v>N</v>
      </c>
      <c r="CG24" s="210" t="str">
        <v>N</v>
      </c>
      <c r="CH24" s="210" t="str">
        <v>N</v>
      </c>
      <c r="CI24" s="210" t="str">
        <v>N</v>
      </c>
      <c r="CJ24" s="210" t="str">
        <v>N</v>
      </c>
      <c r="CK24" s="210" t="str">
        <v>N</v>
      </c>
      <c r="CL24" s="210" t="str">
        <v>N</v>
      </c>
      <c r="CM24" s="210" t="str">
        <v>N</v>
      </c>
      <c r="CN24" s="210" t="str">
        <v>N</v>
      </c>
      <c r="CO24" s="1" t="str">
        <v>N</v>
      </c>
      <c r="CP24" s="1" t="str">
        <v>N</v>
      </c>
      <c r="CQ24" s="1" t="str">
        <v>N</v>
      </c>
      <c r="CR24" s="1" t="str">
        <v>N</v>
      </c>
    </row>
    <row r="25" spans="2:96">
      <c r="B25" s="475">
        <v>2025</v>
      </c>
      <c r="C25" s="476">
        <f t="shared" si="26"/>
        <v>8.272537574646871E-2</v>
      </c>
      <c r="D25" s="484">
        <f t="shared" si="27"/>
        <v>7.4451489815207356E-2</v>
      </c>
      <c r="E25" s="484">
        <f t="shared" si="28"/>
        <v>0.30633333333333335</v>
      </c>
      <c r="F25" s="484">
        <f t="shared" si="29"/>
        <v>0.1150987603645864</v>
      </c>
      <c r="G25" s="472">
        <v>0.93</v>
      </c>
      <c r="H25" s="473">
        <v>0.54</v>
      </c>
      <c r="I25" s="474">
        <v>0.2</v>
      </c>
      <c r="J25" s="1">
        <v>0</v>
      </c>
      <c r="K25" s="220">
        <v>18</v>
      </c>
      <c r="L25" s="218">
        <f t="shared" si="25"/>
        <v>0.86714612723387252</v>
      </c>
      <c r="M25" s="206">
        <f t="shared" si="19"/>
        <v>0.835270211411272</v>
      </c>
      <c r="N25" s="206">
        <f t="shared" si="20"/>
        <v>0.51375951122999841</v>
      </c>
      <c r="O25" s="206">
        <f t="shared" si="3"/>
        <v>0.72430132901910249</v>
      </c>
      <c r="P25" s="207">
        <f t="shared" si="4"/>
        <v>0.44550457049266035</v>
      </c>
      <c r="Q25" s="218">
        <f t="shared" si="0"/>
        <v>1.7777777777777777</v>
      </c>
      <c r="R25" s="206">
        <f t="shared" si="5"/>
        <v>1</v>
      </c>
      <c r="S25" s="206">
        <f t="shared" si="21"/>
        <v>0.77777777777777768</v>
      </c>
      <c r="T25" s="218" cm="1">
        <f t="array" ref="T25">IF(Q25="", "", IF(Q25&lt;1, 0, SUM(EXP(-0.01*_xlfn.SEQUENCE(1,R25)*K25)*(2-EXP(0.00693*_xlfn.SEQUENCE(1, R25)*K25)))))</f>
        <v>0.72430132901910249</v>
      </c>
      <c r="U25" s="206">
        <f t="shared" si="6"/>
        <v>0.38887662294452513</v>
      </c>
      <c r="V25" s="206">
        <f t="shared" si="7"/>
        <v>1.1131779519636276</v>
      </c>
      <c r="W25" s="218" cm="1">
        <f t="array" ref="W25">IF(Q25="", "", IF(Q25&lt;1, 0, SUM(EXP(-0.037*_xlfn.SEQUENCE(1,R25)*K25)*(2-EXP(0.00693*_xlfn.SEQUENCE(1, R25)*K25)))))</f>
        <v>0.44550457049266035</v>
      </c>
      <c r="X25" s="206">
        <f t="shared" si="8"/>
        <v>0.14712199324646033</v>
      </c>
      <c r="Y25" s="207">
        <f t="shared" si="22"/>
        <v>0.5926265637391207</v>
      </c>
      <c r="Z25" s="218">
        <f t="shared" si="23"/>
        <v>0.54226525331398312</v>
      </c>
      <c r="AA25" s="218">
        <f t="shared" si="9"/>
        <v>0.39276344365619825</v>
      </c>
      <c r="AB25" s="207">
        <f t="shared" si="10"/>
        <v>0.2415816487707397</v>
      </c>
      <c r="AC25" s="206" cm="1">
        <f t="array" ref="AC25">IF(Q25="", "", IF(Q25&lt;1, 0, SUM(EXP(-0.01*_xlfn.SEQUENCE(1,R25)*K25)*(2-EXP(0.00693*_xlfn.SEQUENCE(1, R25)*K25))*EXP(-0.034*_xlfn.SEQUENCE(1, R25)*K25))))</f>
        <v>0.39276344365619825</v>
      </c>
      <c r="AD25" s="206">
        <f t="shared" si="11"/>
        <v>0.38887662294452513</v>
      </c>
      <c r="AE25" s="206">
        <f t="shared" si="12"/>
        <v>0.78164006660072338</v>
      </c>
      <c r="AF25" s="218" cm="1">
        <f t="array" ref="AF25">IF(Q25="", "", IF(Q25&lt;1, 0, SUM(EXP(-0.037*_xlfn.SEQUENCE(1,R25)*K25)*(2-EXP(0.00693*_xlfn.SEQUENCE(1, R25)*K25))*EXP(-0.034*_xlfn.SEQUENCE(1, R25)*K25))))</f>
        <v>0.2415816487707397</v>
      </c>
      <c r="AG25" s="206">
        <f t="shared" si="13"/>
        <v>4.3261458237811641E-2</v>
      </c>
      <c r="AH25" s="207">
        <f t="shared" si="14"/>
        <v>0.28484310700855137</v>
      </c>
      <c r="AI25" s="218">
        <f t="shared" si="15"/>
        <v>0.58274825237398964</v>
      </c>
      <c r="AJ25" s="226">
        <f t="shared" si="16"/>
        <v>19</v>
      </c>
      <c r="AK25" s="226">
        <f t="shared" si="17"/>
        <v>31</v>
      </c>
      <c r="AL25" s="206" cm="1">
        <f t="array" ref="AL25">IF(AK25=0, "", SUM(EXP(-0.03*_xlfn.SEQUENCE(1,AK25, AJ25))))</f>
        <v>11.585229566335958</v>
      </c>
      <c r="AM25" s="210">
        <f t="shared" si="1"/>
        <v>36.30574252141551</v>
      </c>
      <c r="AN25" s="1">
        <f t="shared" si="18"/>
        <v>2.2957893646658833</v>
      </c>
      <c r="AO25" s="210">
        <f t="shared" si="2"/>
        <v>2.6116964734231178</v>
      </c>
      <c r="AP25" s="210">
        <f t="shared" si="24"/>
        <v>65.884454247081237</v>
      </c>
      <c r="AT25" s="210" t="str">
        <v>Y</v>
      </c>
      <c r="AU25" s="210" t="str">
        <v>Y</v>
      </c>
      <c r="AV25" s="210" t="str">
        <v>Y</v>
      </c>
      <c r="AW25" s="210" t="str">
        <v>N</v>
      </c>
      <c r="AX25" s="210" t="str">
        <v>N</v>
      </c>
      <c r="AY25" s="210" t="str">
        <v>Y</v>
      </c>
      <c r="AZ25" s="210" t="str">
        <v>N</v>
      </c>
      <c r="BA25" s="210" t="str">
        <v>N</v>
      </c>
      <c r="BB25" s="210" t="str">
        <v>Y</v>
      </c>
      <c r="BC25" s="210" t="str">
        <v>N</v>
      </c>
      <c r="BD25" s="210" t="str">
        <v>N</v>
      </c>
      <c r="BE25" s="210" t="str">
        <v>N</v>
      </c>
      <c r="BF25" s="210" t="str">
        <v>N</v>
      </c>
      <c r="BG25" s="210" t="str">
        <v>N</v>
      </c>
      <c r="BH25" s="210" t="str">
        <v>N</v>
      </c>
      <c r="BI25" s="210" t="str">
        <v>N</v>
      </c>
      <c r="BJ25" s="210" t="str">
        <v>N</v>
      </c>
      <c r="BK25" s="210" t="str">
        <v>Y</v>
      </c>
      <c r="BL25" s="210" t="str">
        <v>N</v>
      </c>
      <c r="BM25" s="210" t="str">
        <v>N</v>
      </c>
      <c r="BN25" s="210" t="str">
        <v>N</v>
      </c>
      <c r="BO25" s="210" t="str">
        <v>N</v>
      </c>
      <c r="BP25" s="210" t="str">
        <v>N</v>
      </c>
      <c r="BQ25" s="210" t="str">
        <v>N</v>
      </c>
      <c r="BR25" s="210" t="str">
        <v>N</v>
      </c>
      <c r="BS25" s="210" t="str">
        <v>N</v>
      </c>
      <c r="BT25" s="210" t="str">
        <v>N</v>
      </c>
      <c r="BU25" s="210" t="str">
        <v>N</v>
      </c>
      <c r="BV25" s="210" t="str">
        <v>N</v>
      </c>
      <c r="BW25" s="210" t="str">
        <v>N</v>
      </c>
      <c r="BX25" s="210" t="str">
        <v>N</v>
      </c>
      <c r="BY25" s="210" t="str">
        <v>N</v>
      </c>
      <c r="BZ25" s="210" t="str">
        <v>N</v>
      </c>
      <c r="CA25" s="210" t="str">
        <v>N</v>
      </c>
      <c r="CB25" s="210" t="str">
        <v>N</v>
      </c>
      <c r="CC25" s="210" t="str">
        <v>N</v>
      </c>
      <c r="CD25" s="210" t="str">
        <v>N</v>
      </c>
      <c r="CE25" s="210" t="str">
        <v>N</v>
      </c>
      <c r="CF25" s="210" t="str">
        <v>N</v>
      </c>
      <c r="CG25" s="210" t="str">
        <v>N</v>
      </c>
      <c r="CH25" s="210" t="str">
        <v>N</v>
      </c>
      <c r="CI25" s="210" t="str">
        <v>N</v>
      </c>
      <c r="CJ25" s="210" t="str">
        <v>N</v>
      </c>
      <c r="CK25" s="210" t="str">
        <v>N</v>
      </c>
      <c r="CL25" s="210" t="str">
        <v>N</v>
      </c>
      <c r="CM25" s="210" t="str">
        <v>N</v>
      </c>
      <c r="CN25" s="210" t="str">
        <v>N</v>
      </c>
      <c r="CO25" s="1" t="str">
        <v>N</v>
      </c>
      <c r="CP25" s="1" t="str">
        <v>N</v>
      </c>
      <c r="CQ25" s="1" t="str">
        <v>N</v>
      </c>
      <c r="CR25" s="1" t="str">
        <v>N</v>
      </c>
    </row>
    <row r="26" spans="2:96">
      <c r="B26" s="475">
        <v>2026</v>
      </c>
      <c r="C26" s="476">
        <f t="shared" si="26"/>
        <v>7.7801895190911796E-2</v>
      </c>
      <c r="D26" s="484">
        <f t="shared" si="27"/>
        <v>7.3710685113923938E-2</v>
      </c>
      <c r="E26" s="484">
        <f t="shared" si="28"/>
        <v>0.29504000000000002</v>
      </c>
      <c r="F26" s="484">
        <f t="shared" si="29"/>
        <v>0.11395350856369409</v>
      </c>
      <c r="G26" s="472">
        <v>0.92</v>
      </c>
      <c r="H26" s="473">
        <v>0.52</v>
      </c>
      <c r="I26" s="474">
        <v>0.2</v>
      </c>
      <c r="J26" s="1">
        <v>0</v>
      </c>
      <c r="K26" s="220">
        <v>19</v>
      </c>
      <c r="L26" s="218">
        <f t="shared" si="25"/>
        <v>0.85926818435160923</v>
      </c>
      <c r="M26" s="206">
        <f t="shared" si="19"/>
        <v>0.82695913394336229</v>
      </c>
      <c r="N26" s="206">
        <f t="shared" si="20"/>
        <v>0.49509778028094348</v>
      </c>
      <c r="O26" s="206">
        <f t="shared" si="3"/>
        <v>0.7105796735564921</v>
      </c>
      <c r="P26" s="207">
        <f t="shared" si="4"/>
        <v>0.42542177073851828</v>
      </c>
      <c r="Q26" s="218">
        <f t="shared" si="0"/>
        <v>1.6315789473684212</v>
      </c>
      <c r="R26" s="206">
        <f t="shared" si="5"/>
        <v>1</v>
      </c>
      <c r="S26" s="206">
        <f t="shared" si="21"/>
        <v>0.63157894736842124</v>
      </c>
      <c r="T26" s="218" cm="1">
        <f t="array" ref="T26">IF(Q26="", "", IF(Q26&lt;1, 0, SUM(EXP(-0.01*_xlfn.SEQUENCE(1,R26)*K26)*(2-EXP(0.00693*_xlfn.SEQUENCE(1, R26)*K26)))))</f>
        <v>0.7105796735564921</v>
      </c>
      <c r="U26" s="206">
        <f t="shared" si="6"/>
        <v>0.30179059886638288</v>
      </c>
      <c r="V26" s="206">
        <f t="shared" si="7"/>
        <v>1.0123702724228749</v>
      </c>
      <c r="W26" s="218" cm="1">
        <f t="array" ref="W26">IF(Q26="", "", IF(Q26&lt;1, 0, SUM(EXP(-0.037*_xlfn.SEQUENCE(1,R26)*K26)*(2-EXP(0.00693*_xlfn.SEQUENCE(1, R26)*K26)))))</f>
        <v>0.42542177073851828</v>
      </c>
      <c r="X26" s="206">
        <f t="shared" si="8"/>
        <v>0.10817317288849526</v>
      </c>
      <c r="Y26" s="207">
        <f t="shared" si="22"/>
        <v>0.53359494362701354</v>
      </c>
      <c r="Z26" s="218">
        <f t="shared" si="23"/>
        <v>0.5241381418083354</v>
      </c>
      <c r="AA26" s="218">
        <f t="shared" si="9"/>
        <v>0.37244190970467334</v>
      </c>
      <c r="AB26" s="207">
        <f t="shared" si="10"/>
        <v>0.22297977639969865</v>
      </c>
      <c r="AC26" s="206" cm="1">
        <f t="array" ref="AC26">IF(Q26="", "", IF(Q26&lt;1, 0, SUM(EXP(-0.01*_xlfn.SEQUENCE(1,R26)*K26)*(2-EXP(0.00693*_xlfn.SEQUENCE(1, R26)*K26))*EXP(-0.034*_xlfn.SEQUENCE(1, R26)*K26))))</f>
        <v>0.37244190970467334</v>
      </c>
      <c r="AD26" s="206">
        <f t="shared" si="11"/>
        <v>0.30179059886638288</v>
      </c>
      <c r="AE26" s="206">
        <f t="shared" si="12"/>
        <v>0.67423250857105621</v>
      </c>
      <c r="AF26" s="218" cm="1">
        <f t="array" ref="AF26">IF(Q26="", "", IF(Q26&lt;1, 0, SUM(EXP(-0.037*_xlfn.SEQUENCE(1,R26)*K26)*(2-EXP(0.00693*_xlfn.SEQUENCE(1, R26)*K26))*EXP(-0.034*_xlfn.SEQUENCE(1, R26)*K26))))</f>
        <v>0.22297977639969865</v>
      </c>
      <c r="AG26" s="206">
        <f t="shared" si="13"/>
        <v>2.9717419696443929E-2</v>
      </c>
      <c r="AH26" s="207">
        <f t="shared" si="14"/>
        <v>0.25269719609614261</v>
      </c>
      <c r="AI26" s="218">
        <f t="shared" si="15"/>
        <v>0.56552543869953709</v>
      </c>
      <c r="AJ26" s="226">
        <f t="shared" si="16"/>
        <v>20</v>
      </c>
      <c r="AK26" s="226">
        <f t="shared" si="17"/>
        <v>30</v>
      </c>
      <c r="AL26" s="206" cm="1">
        <f t="array" ref="AL26">IF(AK26=0, "", SUM(EXP(-0.03*_xlfn.SEQUENCE(1,AK26, AJ26))))</f>
        <v>11.019704127636421</v>
      </c>
      <c r="AM26" s="210">
        <f t="shared" si="1"/>
        <v>35.756930885321481</v>
      </c>
      <c r="AN26" s="1">
        <f t="shared" si="18"/>
        <v>1.4780008610299984</v>
      </c>
      <c r="AO26" s="210">
        <f t="shared" si="2"/>
        <v>2.5345091776178545</v>
      </c>
      <c r="AP26" s="210">
        <f t="shared" si="24"/>
        <v>68.418963424699086</v>
      </c>
      <c r="AT26" s="210" t="str">
        <v>Y</v>
      </c>
      <c r="AU26" s="210" t="str">
        <v>N</v>
      </c>
      <c r="AV26" s="210" t="str">
        <v>N</v>
      </c>
      <c r="AW26" s="210" t="str">
        <v>N</v>
      </c>
      <c r="AX26" s="210" t="str">
        <v>N</v>
      </c>
      <c r="AY26" s="210" t="str">
        <v>N</v>
      </c>
      <c r="AZ26" s="210" t="str">
        <v>N</v>
      </c>
      <c r="BA26" s="210" t="str">
        <v>N</v>
      </c>
      <c r="BB26" s="210" t="str">
        <v>N</v>
      </c>
      <c r="BC26" s="210" t="str">
        <v>N</v>
      </c>
      <c r="BD26" s="210" t="str">
        <v>N</v>
      </c>
      <c r="BE26" s="210" t="str">
        <v>N</v>
      </c>
      <c r="BF26" s="210" t="str">
        <v>N</v>
      </c>
      <c r="BG26" s="210" t="str">
        <v>N</v>
      </c>
      <c r="BH26" s="210" t="str">
        <v>N</v>
      </c>
      <c r="BI26" s="210" t="str">
        <v>N</v>
      </c>
      <c r="BJ26" s="210" t="str">
        <v>N</v>
      </c>
      <c r="BK26" s="210" t="str">
        <v>N</v>
      </c>
      <c r="BL26" s="210" t="str">
        <v>Y</v>
      </c>
      <c r="BM26" s="210" t="str">
        <v>N</v>
      </c>
      <c r="BN26" s="210" t="str">
        <v>N</v>
      </c>
      <c r="BO26" s="210" t="str">
        <v>N</v>
      </c>
      <c r="BP26" s="210" t="str">
        <v>N</v>
      </c>
      <c r="BQ26" s="210" t="str">
        <v>N</v>
      </c>
      <c r="BR26" s="210" t="str">
        <v>N</v>
      </c>
      <c r="BS26" s="210" t="str">
        <v>N</v>
      </c>
      <c r="BT26" s="210" t="str">
        <v>N</v>
      </c>
      <c r="BU26" s="210" t="str">
        <v>N</v>
      </c>
      <c r="BV26" s="210" t="str">
        <v>N</v>
      </c>
      <c r="BW26" s="210" t="str">
        <v>N</v>
      </c>
      <c r="BX26" s="210" t="str">
        <v>N</v>
      </c>
      <c r="BY26" s="210" t="str">
        <v>N</v>
      </c>
      <c r="BZ26" s="210" t="str">
        <v>N</v>
      </c>
      <c r="CA26" s="210" t="str">
        <v>N</v>
      </c>
      <c r="CB26" s="210" t="str">
        <v>N</v>
      </c>
      <c r="CC26" s="210" t="str">
        <v>N</v>
      </c>
      <c r="CD26" s="210" t="str">
        <v>N</v>
      </c>
      <c r="CE26" s="210" t="str">
        <v>N</v>
      </c>
      <c r="CF26" s="210" t="str">
        <v>N</v>
      </c>
      <c r="CG26" s="210" t="str">
        <v>N</v>
      </c>
      <c r="CH26" s="210" t="str">
        <v>N</v>
      </c>
      <c r="CI26" s="210" t="str">
        <v>N</v>
      </c>
      <c r="CJ26" s="210" t="str">
        <v>N</v>
      </c>
      <c r="CK26" s="210" t="str">
        <v>N</v>
      </c>
      <c r="CL26" s="210" t="str">
        <v>N</v>
      </c>
      <c r="CM26" s="210" t="str">
        <v>N</v>
      </c>
      <c r="CN26" s="210" t="str">
        <v>N</v>
      </c>
      <c r="CO26" s="1" t="str">
        <v>N</v>
      </c>
      <c r="CP26" s="1" t="str">
        <v>N</v>
      </c>
      <c r="CQ26" s="1" t="str">
        <v>N</v>
      </c>
      <c r="CR26" s="1" t="str">
        <v>N</v>
      </c>
    </row>
    <row r="27" spans="2:96">
      <c r="B27" s="475">
        <v>2027</v>
      </c>
      <c r="C27" s="476">
        <f t="shared" si="26"/>
        <v>7.3063410515116028E-2</v>
      </c>
      <c r="D27" s="484">
        <f t="shared" si="27"/>
        <v>7.2977251542577642E-2</v>
      </c>
      <c r="E27" s="484">
        <f t="shared" si="28"/>
        <v>0.2837466666666667</v>
      </c>
      <c r="F27" s="484">
        <f t="shared" si="29"/>
        <v>0.11281965220861974</v>
      </c>
      <c r="G27" s="472">
        <v>0.91</v>
      </c>
      <c r="H27" s="473">
        <v>0.51</v>
      </c>
      <c r="I27" s="474">
        <v>0.2</v>
      </c>
      <c r="J27" s="1">
        <v>0</v>
      </c>
      <c r="K27" s="220">
        <v>20</v>
      </c>
      <c r="L27" s="218">
        <f t="shared" si="25"/>
        <v>0.85133545771872443</v>
      </c>
      <c r="M27" s="206">
        <f t="shared" si="19"/>
        <v>0.81873075307798182</v>
      </c>
      <c r="N27" s="206">
        <f t="shared" si="20"/>
        <v>0.47711391552103438</v>
      </c>
      <c r="O27" s="206">
        <f>$L27*M27</f>
        <v>0.69701452042003964</v>
      </c>
      <c r="P27" s="207">
        <f>$L27*N27</f>
        <v>0.40618399365407265</v>
      </c>
      <c r="Q27" s="218">
        <f t="shared" si="0"/>
        <v>1.5</v>
      </c>
      <c r="R27" s="206">
        <f t="shared" si="5"/>
        <v>1</v>
      </c>
      <c r="S27" s="206">
        <f t="shared" si="21"/>
        <v>0.5</v>
      </c>
      <c r="T27" s="218" cm="1">
        <f t="array" ref="T27">IF(Q27="", "", IF(Q27&lt;1, 0, SUM(EXP(-0.01*_xlfn.SEQUENCE(1,R27)*K27)*(2-EXP(0.00693*_xlfn.SEQUENCE(1, R27)*K27)))))</f>
        <v>0.69701452042003964</v>
      </c>
      <c r="U27" s="206">
        <f t="shared" si="6"/>
        <v>0.22809977954574664</v>
      </c>
      <c r="V27" s="206">
        <f t="shared" si="7"/>
        <v>0.92511429996578631</v>
      </c>
      <c r="W27" s="218" cm="1">
        <f t="array" ref="W27">IF(Q27="", "", IF(Q27&lt;1, 0, SUM(EXP(-0.037*_xlfn.SEQUENCE(1,R27)*K27)*(2-EXP(0.00693*_xlfn.SEQUENCE(1, R27)*K27)))))</f>
        <v>0.40618399365407265</v>
      </c>
      <c r="X27" s="206">
        <f t="shared" si="8"/>
        <v>7.7461664534332564E-2</v>
      </c>
      <c r="Y27" s="207">
        <f t="shared" si="22"/>
        <v>0.48364565818840521</v>
      </c>
      <c r="Z27" s="218">
        <f t="shared" si="23"/>
        <v>0.50661699236558955</v>
      </c>
      <c r="AA27" s="218">
        <f t="shared" si="9"/>
        <v>0.35311939997034431</v>
      </c>
      <c r="AB27" s="207">
        <f t="shared" si="10"/>
        <v>0.20577971321207</v>
      </c>
      <c r="AC27" s="206" cm="1">
        <f t="array" ref="AC27">IF(Q27="", "", IF(Q27&lt;1, 0, SUM(EXP(-0.01*_xlfn.SEQUENCE(1,R27)*K27)*(2-EXP(0.00693*_xlfn.SEQUENCE(1, R27)*K27))*EXP(-0.034*_xlfn.SEQUENCE(1, R27)*K27))))</f>
        <v>0.35311939997034431</v>
      </c>
      <c r="AD27" s="206">
        <f t="shared" si="11"/>
        <v>0.22809977954574664</v>
      </c>
      <c r="AE27" s="206">
        <f t="shared" si="12"/>
        <v>0.58121917951609092</v>
      </c>
      <c r="AF27" s="218" cm="1">
        <f t="array" ref="AF27">IF(Q27="", "", IF(Q27&lt;1, 0, SUM(EXP(-0.037*_xlfn.SEQUENCE(1,R27)*K27)*(2-EXP(0.00693*_xlfn.SEQUENCE(1, R27)*K27))*EXP(-0.034*_xlfn.SEQUENCE(1, R27)*K27))))</f>
        <v>0.20577971321207</v>
      </c>
      <c r="AG27" s="206">
        <f t="shared" si="13"/>
        <v>1.9881371003497499E-2</v>
      </c>
      <c r="AH27" s="207">
        <f t="shared" si="14"/>
        <v>0.22566108421556749</v>
      </c>
      <c r="AI27" s="218">
        <f t="shared" si="15"/>
        <v>0.54881163609402639</v>
      </c>
      <c r="AJ27" s="226">
        <f t="shared" si="16"/>
        <v>21</v>
      </c>
      <c r="AK27" s="226">
        <f t="shared" si="17"/>
        <v>29</v>
      </c>
      <c r="AL27" s="206" cm="1">
        <f t="array" ref="AL27">IF(AK27=0, "", SUM(EXP(-0.03*_xlfn.SEQUENCE(1,AK27, AJ27))))</f>
        <v>10.470892491542395</v>
      </c>
      <c r="AM27" s="210">
        <f t="shared" si="1"/>
        <v>35.224339084314586</v>
      </c>
      <c r="AN27" s="1">
        <f t="shared" si="18"/>
        <v>0.88211071289176679</v>
      </c>
      <c r="AO27" s="210">
        <f t="shared" si="2"/>
        <v>2.4596031111569494</v>
      </c>
      <c r="AP27" s="210">
        <f t="shared" si="24"/>
        <v>70.878566535856038</v>
      </c>
      <c r="AT27" s="210" t="str">
        <v>Y</v>
      </c>
      <c r="AU27" s="210" t="str">
        <v>Y</v>
      </c>
      <c r="AV27" s="210" t="str">
        <v>N</v>
      </c>
      <c r="AW27" s="210" t="str">
        <v>Y</v>
      </c>
      <c r="AX27" s="210" t="str">
        <v>Y</v>
      </c>
      <c r="AY27" s="210" t="str">
        <v>N</v>
      </c>
      <c r="AZ27" s="210" t="str">
        <v>N</v>
      </c>
      <c r="BA27" s="210" t="str">
        <v>N</v>
      </c>
      <c r="BB27" s="210" t="str">
        <v>N</v>
      </c>
      <c r="BC27" s="210" t="str">
        <v>Y</v>
      </c>
      <c r="BD27" s="210" t="str">
        <v>N</v>
      </c>
      <c r="BE27" s="210" t="str">
        <v>N</v>
      </c>
      <c r="BF27" s="210" t="str">
        <v>N</v>
      </c>
      <c r="BG27" s="210" t="str">
        <v>N</v>
      </c>
      <c r="BH27" s="210" t="str">
        <v>N</v>
      </c>
      <c r="BI27" s="210" t="str">
        <v>N</v>
      </c>
      <c r="BJ27" s="210" t="str">
        <v>N</v>
      </c>
      <c r="BK27" s="210" t="str">
        <v>N</v>
      </c>
      <c r="BL27" s="210" t="str">
        <v>N</v>
      </c>
      <c r="BM27" s="210" t="str">
        <v>Y</v>
      </c>
      <c r="BN27" s="210" t="str">
        <v>N</v>
      </c>
      <c r="BO27" s="210" t="str">
        <v>N</v>
      </c>
      <c r="BP27" s="210" t="str">
        <v>N</v>
      </c>
      <c r="BQ27" s="210" t="str">
        <v>N</v>
      </c>
      <c r="BR27" s="210" t="str">
        <v>N</v>
      </c>
      <c r="BS27" s="210" t="str">
        <v>N</v>
      </c>
      <c r="BT27" s="210" t="str">
        <v>N</v>
      </c>
      <c r="BU27" s="210" t="str">
        <v>N</v>
      </c>
      <c r="BV27" s="210" t="str">
        <v>N</v>
      </c>
      <c r="BW27" s="210" t="str">
        <v>N</v>
      </c>
      <c r="BX27" s="210" t="str">
        <v>N</v>
      </c>
      <c r="BY27" s="210" t="str">
        <v>N</v>
      </c>
      <c r="BZ27" s="210" t="str">
        <v>N</v>
      </c>
      <c r="CA27" s="210" t="str">
        <v>N</v>
      </c>
      <c r="CB27" s="210" t="str">
        <v>N</v>
      </c>
      <c r="CC27" s="210" t="str">
        <v>N</v>
      </c>
      <c r="CD27" s="210" t="str">
        <v>N</v>
      </c>
      <c r="CE27" s="210" t="str">
        <v>N</v>
      </c>
      <c r="CF27" s="210" t="str">
        <v>N</v>
      </c>
      <c r="CG27" s="210" t="str">
        <v>N</v>
      </c>
      <c r="CH27" s="210" t="str">
        <v>N</v>
      </c>
      <c r="CI27" s="210" t="str">
        <v>N</v>
      </c>
      <c r="CJ27" s="210" t="str">
        <v>N</v>
      </c>
      <c r="CK27" s="210" t="str">
        <v>N</v>
      </c>
      <c r="CL27" s="210" t="str">
        <v>N</v>
      </c>
      <c r="CM27" s="210" t="str">
        <v>N</v>
      </c>
      <c r="CN27" s="210" t="str">
        <v>N</v>
      </c>
      <c r="CO27" s="1" t="str">
        <v>N</v>
      </c>
      <c r="CP27" s="1" t="str">
        <v>N</v>
      </c>
      <c r="CQ27" s="1" t="str">
        <v>N</v>
      </c>
      <c r="CR27" s="1" t="str">
        <v>N</v>
      </c>
    </row>
    <row r="28" spans="2:96">
      <c r="B28" s="475">
        <v>2028</v>
      </c>
      <c r="C28" s="476">
        <f t="shared" si="26"/>
        <v>6.8511763819384869E-2</v>
      </c>
      <c r="D28" s="484">
        <f t="shared" si="27"/>
        <v>7.2251115757200182E-2</v>
      </c>
      <c r="E28" s="484">
        <f t="shared" si="28"/>
        <v>0.27245333333333333</v>
      </c>
      <c r="F28" s="484">
        <f t="shared" si="29"/>
        <v>0.11169707791278292</v>
      </c>
      <c r="G28" s="472">
        <v>0.89</v>
      </c>
      <c r="H28" s="473">
        <v>0.5</v>
      </c>
      <c r="I28" s="474">
        <v>0.2</v>
      </c>
      <c r="J28" s="1">
        <v>0</v>
      </c>
      <c r="K28" s="220">
        <v>21</v>
      </c>
      <c r="L28" s="218">
        <f t="shared" si="25"/>
        <v>0.84334756636529029</v>
      </c>
      <c r="M28" s="206">
        <f t="shared" si="19"/>
        <v>0.81058424597018708</v>
      </c>
      <c r="N28" s="206">
        <f t="shared" si="20"/>
        <v>0.45978329423056524</v>
      </c>
      <c r="O28" s="206">
        <f t="shared" si="3"/>
        <v>0.68360425117300117</v>
      </c>
      <c r="P28" s="207">
        <f t="shared" si="4"/>
        <v>0.38775712224476339</v>
      </c>
      <c r="Q28" s="218">
        <f t="shared" si="0"/>
        <v>1.3809523809523809</v>
      </c>
      <c r="R28" s="206">
        <f t="shared" si="5"/>
        <v>1</v>
      </c>
      <c r="S28" s="206">
        <f t="shared" si="21"/>
        <v>0.38095238095238093</v>
      </c>
      <c r="T28" s="218" cm="1">
        <f t="array" ref="T28">IF(Q28="", "", IF(Q28&lt;1, 0, SUM(EXP(-0.01*_xlfn.SEQUENCE(1,R28)*K28)*(2-EXP(0.00693*_xlfn.SEQUENCE(1, R28)*K28)))))</f>
        <v>0.68360425117300117</v>
      </c>
      <c r="U28" s="206">
        <f t="shared" si="6"/>
        <v>0.16573978440549061</v>
      </c>
      <c r="V28" s="206">
        <f t="shared" si="7"/>
        <v>0.84934403557849181</v>
      </c>
      <c r="W28" s="218" cm="1">
        <f t="array" ref="W28">IF(Q28="", "", IF(Q28&lt;1, 0, SUM(EXP(-0.037*_xlfn.SEQUENCE(1,R28)*K28)*(2-EXP(0.00693*_xlfn.SEQUENCE(1, R28)*K28)))))</f>
        <v>0.38775712224476339</v>
      </c>
      <c r="X28" s="206">
        <f t="shared" si="8"/>
        <v>5.33257321713081E-2</v>
      </c>
      <c r="Y28" s="207">
        <f t="shared" si="22"/>
        <v>0.44108285441607148</v>
      </c>
      <c r="Z28" s="218">
        <f t="shared" si="23"/>
        <v>0.48968154858573615</v>
      </c>
      <c r="AA28" s="218">
        <f t="shared" si="9"/>
        <v>0.33474838833418774</v>
      </c>
      <c r="AB28" s="207">
        <f t="shared" si="10"/>
        <v>0.18987750809596432</v>
      </c>
      <c r="AC28" s="206" cm="1">
        <f t="array" ref="AC28">IF(Q28="", "", IF(Q28&lt;1, 0, SUM(EXP(-0.01*_xlfn.SEQUENCE(1,R28)*K28)*(2-EXP(0.00693*_xlfn.SEQUENCE(1, R28)*K28))*EXP(-0.034*_xlfn.SEQUENCE(1, R28)*K28))))</f>
        <v>0.33474838833418774</v>
      </c>
      <c r="AD28" s="206">
        <f t="shared" si="11"/>
        <v>0.16573978440549061</v>
      </c>
      <c r="AE28" s="206">
        <f t="shared" si="12"/>
        <v>0.50048817273967838</v>
      </c>
      <c r="AF28" s="218" cm="1">
        <f t="array" ref="AF28">IF(Q28="", "", IF(Q28&lt;1, 0, SUM(EXP(-0.037*_xlfn.SEQUENCE(1,R28)*K28)*(2-EXP(0.00693*_xlfn.SEQUENCE(1, R28)*K28))*EXP(-0.034*_xlfn.SEQUENCE(1, R28)*K28))))</f>
        <v>0.18987750809596432</v>
      </c>
      <c r="AG28" s="206">
        <f t="shared" si="13"/>
        <v>1.2786871680432993E-2</v>
      </c>
      <c r="AH28" s="207">
        <f t="shared" si="14"/>
        <v>0.20266437977639731</v>
      </c>
      <c r="AI28" s="218">
        <f t="shared" si="15"/>
        <v>0.53259180100689718</v>
      </c>
      <c r="AJ28" s="226">
        <f t="shared" si="16"/>
        <v>22</v>
      </c>
      <c r="AK28" s="226">
        <f t="shared" si="17"/>
        <v>28</v>
      </c>
      <c r="AL28" s="206" cm="1">
        <f t="array" ref="AL28">IF(AK28=0, "", SUM(EXP(-0.03*_xlfn.SEQUENCE(1,AK28, AJ28))))</f>
        <v>9.9383006905354989</v>
      </c>
      <c r="AM28" s="210">
        <f t="shared" si="1"/>
        <v>34.707487749822889</v>
      </c>
      <c r="AN28" s="1">
        <f t="shared" si="18"/>
        <v>0.4654534631344498</v>
      </c>
      <c r="AO28" s="210">
        <f t="shared" si="2"/>
        <v>2.3869108535242765</v>
      </c>
      <c r="AP28" s="210">
        <f t="shared" si="24"/>
        <v>73.265477389380308</v>
      </c>
      <c r="AT28" s="210" t="str">
        <v>Y</v>
      </c>
      <c r="AU28" s="210" t="str">
        <v>N</v>
      </c>
      <c r="AV28" s="210" t="str">
        <v>Y</v>
      </c>
      <c r="AW28" s="210" t="str">
        <v>N</v>
      </c>
      <c r="AX28" s="210" t="str">
        <v>N</v>
      </c>
      <c r="AY28" s="210" t="str">
        <v>N</v>
      </c>
      <c r="AZ28" s="210" t="str">
        <v>Y</v>
      </c>
      <c r="BA28" s="210" t="str">
        <v>N</v>
      </c>
      <c r="BB28" s="210" t="str">
        <v>N</v>
      </c>
      <c r="BC28" s="210" t="str">
        <v>N</v>
      </c>
      <c r="BD28" s="210" t="str">
        <v>N</v>
      </c>
      <c r="BE28" s="210" t="str">
        <v>N</v>
      </c>
      <c r="BF28" s="210" t="str">
        <v>N</v>
      </c>
      <c r="BG28" s="210" t="str">
        <v>N</v>
      </c>
      <c r="BH28" s="210" t="str">
        <v>N</v>
      </c>
      <c r="BI28" s="210" t="str">
        <v>N</v>
      </c>
      <c r="BJ28" s="210" t="str">
        <v>N</v>
      </c>
      <c r="BK28" s="210" t="str">
        <v>N</v>
      </c>
      <c r="BL28" s="210" t="str">
        <v>N</v>
      </c>
      <c r="BM28" s="210" t="str">
        <v>N</v>
      </c>
      <c r="BN28" s="210" t="str">
        <v>Y</v>
      </c>
      <c r="BO28" s="210" t="str">
        <v>N</v>
      </c>
      <c r="BP28" s="210" t="str">
        <v>N</v>
      </c>
      <c r="BQ28" s="210" t="str">
        <v>N</v>
      </c>
      <c r="BR28" s="210" t="str">
        <v>N</v>
      </c>
      <c r="BS28" s="210" t="str">
        <v>N</v>
      </c>
      <c r="BT28" s="210" t="str">
        <v>N</v>
      </c>
      <c r="BU28" s="210" t="str">
        <v>N</v>
      </c>
      <c r="BV28" s="210" t="str">
        <v>N</v>
      </c>
      <c r="BW28" s="210" t="str">
        <v>N</v>
      </c>
      <c r="BX28" s="210" t="str">
        <v>N</v>
      </c>
      <c r="BY28" s="210" t="str">
        <v>N</v>
      </c>
      <c r="BZ28" s="210" t="str">
        <v>N</v>
      </c>
      <c r="CA28" s="210" t="str">
        <v>N</v>
      </c>
      <c r="CB28" s="210" t="str">
        <v>N</v>
      </c>
      <c r="CC28" s="210" t="str">
        <v>N</v>
      </c>
      <c r="CD28" s="210" t="str">
        <v>N</v>
      </c>
      <c r="CE28" s="210" t="str">
        <v>N</v>
      </c>
      <c r="CF28" s="210" t="str">
        <v>N</v>
      </c>
      <c r="CG28" s="210" t="str">
        <v>N</v>
      </c>
      <c r="CH28" s="210" t="str">
        <v>N</v>
      </c>
      <c r="CI28" s="210" t="str">
        <v>N</v>
      </c>
      <c r="CJ28" s="210" t="str">
        <v>N</v>
      </c>
      <c r="CK28" s="210" t="str">
        <v>N</v>
      </c>
      <c r="CL28" s="210" t="str">
        <v>N</v>
      </c>
      <c r="CM28" s="210" t="str">
        <v>N</v>
      </c>
      <c r="CN28" s="210" t="str">
        <v>N</v>
      </c>
      <c r="CO28" s="1" t="str">
        <v>N</v>
      </c>
      <c r="CP28" s="1" t="str">
        <v>N</v>
      </c>
      <c r="CQ28" s="1" t="str">
        <v>N</v>
      </c>
      <c r="CR28" s="1" t="str">
        <v>N</v>
      </c>
    </row>
    <row r="29" spans="2:96">
      <c r="B29" s="475">
        <v>2029</v>
      </c>
      <c r="C29" s="476">
        <f t="shared" si="26"/>
        <v>6.4148784482398025E-2</v>
      </c>
      <c r="D29" s="484">
        <f t="shared" si="27"/>
        <v>7.1532205143607988E-2</v>
      </c>
      <c r="E29" s="484">
        <f t="shared" si="28"/>
        <v>0.26116</v>
      </c>
      <c r="F29" s="484">
        <f t="shared" si="29"/>
        <v>0.11058567341781861</v>
      </c>
      <c r="G29" s="472">
        <v>0.88</v>
      </c>
      <c r="H29" s="473">
        <v>0.49</v>
      </c>
      <c r="I29" s="474">
        <v>0.2</v>
      </c>
      <c r="J29" s="1">
        <v>0</v>
      </c>
      <c r="K29" s="220">
        <v>22</v>
      </c>
      <c r="L29" s="218">
        <f t="shared" si="25"/>
        <v>0.83530412667208798</v>
      </c>
      <c r="M29" s="206">
        <f t="shared" si="19"/>
        <v>0.80251879796247849</v>
      </c>
      <c r="N29" s="206">
        <f t="shared" si="20"/>
        <v>0.44308218808216782</v>
      </c>
      <c r="O29" s="206">
        <f t="shared" si="3"/>
        <v>0.67034726366998187</v>
      </c>
      <c r="P29" s="207">
        <f t="shared" si="4"/>
        <v>0.37010838015993303</v>
      </c>
      <c r="Q29" s="218">
        <f t="shared" si="0"/>
        <v>1.2727272727272729</v>
      </c>
      <c r="R29" s="206">
        <f t="shared" si="5"/>
        <v>1</v>
      </c>
      <c r="S29" s="206">
        <f t="shared" si="21"/>
        <v>0.27272727272727293</v>
      </c>
      <c r="T29" s="218" cm="1">
        <f t="array" ref="T29">IF(Q29="", "", IF(Q29&lt;1, 0, SUM(EXP(-0.01*_xlfn.SEQUENCE(1,R29)*K29)*(2-EXP(0.00693*_xlfn.SEQUENCE(1, R29)*K29)))))</f>
        <v>0.67034726366998187</v>
      </c>
      <c r="U29" s="206">
        <f t="shared" si="6"/>
        <v>0.11302549771510016</v>
      </c>
      <c r="V29" s="206">
        <f t="shared" si="7"/>
        <v>0.78337276138508205</v>
      </c>
      <c r="W29" s="218" cm="1">
        <f t="array" ref="W29">IF(Q29="", "", IF(Q29&lt;1, 0, SUM(EXP(-0.037*_xlfn.SEQUENCE(1,R29)*K29)*(2-EXP(0.00693*_xlfn.SEQUENCE(1, R29)*K29)))))</f>
        <v>0.37010838015993303</v>
      </c>
      <c r="X29" s="206">
        <f t="shared" si="8"/>
        <v>3.4453598121618308E-2</v>
      </c>
      <c r="Y29" s="207">
        <f t="shared" si="22"/>
        <v>0.40456197828155133</v>
      </c>
      <c r="Z29" s="218">
        <f t="shared" si="23"/>
        <v>0.47331223120973931</v>
      </c>
      <c r="AA29" s="218">
        <f t="shared" si="9"/>
        <v>0.31728355905298256</v>
      </c>
      <c r="AB29" s="207">
        <f t="shared" si="10"/>
        <v>0.1751768232029203</v>
      </c>
      <c r="AC29" s="206" cm="1">
        <f t="array" ref="AC29">IF(Q29="", "", IF(Q29&lt;1, 0, SUM(EXP(-0.01*_xlfn.SEQUENCE(1,R29)*K29)*(2-EXP(0.00693*_xlfn.SEQUENCE(1, R29)*K29))*EXP(-0.034*_xlfn.SEQUENCE(1, R29)*K29))))</f>
        <v>0.31728355905298256</v>
      </c>
      <c r="AD29" s="206">
        <f t="shared" si="11"/>
        <v>0.11302549771510016</v>
      </c>
      <c r="AE29" s="206">
        <f t="shared" si="12"/>
        <v>0.43030905676808273</v>
      </c>
      <c r="AF29" s="218" cm="1">
        <f t="array" ref="AF29">IF(Q29="", "", IF(Q29&lt;1, 0, SUM(EXP(-0.037*_xlfn.SEQUENCE(1,R29)*K29)*(2-EXP(0.00693*_xlfn.SEQUENCE(1, R29)*K29))*EXP(-0.034*_xlfn.SEQUENCE(1, R29)*K29))))</f>
        <v>0.1751768232029203</v>
      </c>
      <c r="AG29" s="206">
        <f t="shared" si="13"/>
        <v>7.7184489972110595E-3</v>
      </c>
      <c r="AH29" s="207">
        <f t="shared" si="14"/>
        <v>0.18289527220013135</v>
      </c>
      <c r="AI29" s="218">
        <f t="shared" si="15"/>
        <v>0.51685133449169929</v>
      </c>
      <c r="AJ29" s="226">
        <f t="shared" si="16"/>
        <v>23</v>
      </c>
      <c r="AK29" s="226">
        <f t="shared" si="17"/>
        <v>27</v>
      </c>
      <c r="AL29" s="206" cm="1">
        <f t="array" ref="AL29">IF(AK29=0, "", SUM(EXP(-0.03*_xlfn.SEQUENCE(1,AK29, AJ29))))</f>
        <v>9.4214493560437997</v>
      </c>
      <c r="AM29" s="210">
        <f t="shared" si="1"/>
        <v>34.205911680756827</v>
      </c>
      <c r="AN29" s="1">
        <f t="shared" si="18"/>
        <v>0.19390814373334997</v>
      </c>
      <c r="AO29" s="210">
        <f t="shared" si="2"/>
        <v>2.3163669767810915</v>
      </c>
      <c r="AP29" s="210">
        <f t="shared" si="24"/>
        <v>75.581844366161405</v>
      </c>
      <c r="AT29" s="210" t="str">
        <v>Y</v>
      </c>
      <c r="AU29" s="210" t="str">
        <v>Y</v>
      </c>
      <c r="AV29" s="210" t="str">
        <v>N</v>
      </c>
      <c r="AW29" s="210" t="str">
        <v>N</v>
      </c>
      <c r="AX29" s="210" t="str">
        <v>N</v>
      </c>
      <c r="AY29" s="210" t="str">
        <v>N</v>
      </c>
      <c r="AZ29" s="210" t="str">
        <v>N</v>
      </c>
      <c r="BA29" s="210" t="str">
        <v>N</v>
      </c>
      <c r="BB29" s="210" t="str">
        <v>N</v>
      </c>
      <c r="BC29" s="210" t="str">
        <v>N</v>
      </c>
      <c r="BD29" s="210" t="str">
        <v>Y</v>
      </c>
      <c r="BE29" s="210" t="str">
        <v>N</v>
      </c>
      <c r="BF29" s="210" t="str">
        <v>N</v>
      </c>
      <c r="BG29" s="210" t="str">
        <v>N</v>
      </c>
      <c r="BH29" s="210" t="str">
        <v>N</v>
      </c>
      <c r="BI29" s="210" t="str">
        <v>N</v>
      </c>
      <c r="BJ29" s="210" t="str">
        <v>N</v>
      </c>
      <c r="BK29" s="210" t="str">
        <v>N</v>
      </c>
      <c r="BL29" s="210" t="str">
        <v>N</v>
      </c>
      <c r="BM29" s="210" t="str">
        <v>N</v>
      </c>
      <c r="BN29" s="210" t="str">
        <v>N</v>
      </c>
      <c r="BO29" s="210" t="str">
        <v>Y</v>
      </c>
      <c r="BP29" s="210" t="str">
        <v>N</v>
      </c>
      <c r="BQ29" s="210" t="str">
        <v>N</v>
      </c>
      <c r="BR29" s="210" t="str">
        <v>N</v>
      </c>
      <c r="BS29" s="210" t="str">
        <v>N</v>
      </c>
      <c r="BT29" s="210" t="str">
        <v>N</v>
      </c>
      <c r="BU29" s="210" t="str">
        <v>N</v>
      </c>
      <c r="BV29" s="210" t="str">
        <v>N</v>
      </c>
      <c r="BW29" s="210" t="str">
        <v>N</v>
      </c>
      <c r="BX29" s="210" t="str">
        <v>N</v>
      </c>
      <c r="BY29" s="210" t="str">
        <v>N</v>
      </c>
      <c r="BZ29" s="210" t="str">
        <v>N</v>
      </c>
      <c r="CA29" s="210" t="str">
        <v>N</v>
      </c>
      <c r="CB29" s="210" t="str">
        <v>N</v>
      </c>
      <c r="CC29" s="210" t="str">
        <v>N</v>
      </c>
      <c r="CD29" s="210" t="str">
        <v>N</v>
      </c>
      <c r="CE29" s="210" t="str">
        <v>N</v>
      </c>
      <c r="CF29" s="210" t="str">
        <v>N</v>
      </c>
      <c r="CG29" s="210" t="str">
        <v>N</v>
      </c>
      <c r="CH29" s="210" t="str">
        <v>N</v>
      </c>
      <c r="CI29" s="210" t="str">
        <v>N</v>
      </c>
      <c r="CJ29" s="210" t="str">
        <v>N</v>
      </c>
      <c r="CK29" s="210" t="str">
        <v>N</v>
      </c>
      <c r="CL29" s="210" t="str">
        <v>N</v>
      </c>
      <c r="CM29" s="210" t="str">
        <v>N</v>
      </c>
      <c r="CN29" s="210" t="str">
        <v>N</v>
      </c>
      <c r="CO29" s="1" t="str">
        <v>N</v>
      </c>
      <c r="CP29" s="1" t="str">
        <v>N</v>
      </c>
      <c r="CQ29" s="1" t="str">
        <v>N</v>
      </c>
      <c r="CR29" s="1" t="str">
        <v>N</v>
      </c>
    </row>
    <row r="30" spans="2:96">
      <c r="B30" s="475">
        <v>2030</v>
      </c>
      <c r="C30" s="476">
        <f t="shared" si="26"/>
        <v>5.997628924906756E-2</v>
      </c>
      <c r="D30" s="484">
        <f t="shared" si="27"/>
        <v>7.0820447810140436E-2</v>
      </c>
      <c r="E30" s="484">
        <f t="shared" si="28"/>
        <v>0.24986666666666668</v>
      </c>
      <c r="F30" s="484">
        <f t="shared" si="29"/>
        <v>0.10948532758235111</v>
      </c>
      <c r="G30" s="472">
        <v>0.87</v>
      </c>
      <c r="H30" s="473">
        <v>0.48</v>
      </c>
      <c r="I30" s="474">
        <v>0.2</v>
      </c>
      <c r="J30" s="1">
        <v>0</v>
      </c>
      <c r="K30" s="220">
        <v>23</v>
      </c>
      <c r="L30" s="218">
        <f t="shared" si="25"/>
        <v>0.8272047523521846</v>
      </c>
      <c r="M30" s="206">
        <f t="shared" si="19"/>
        <v>0.79453360250333405</v>
      </c>
      <c r="N30" s="206">
        <f t="shared" si="20"/>
        <v>0.42698773065302592</v>
      </c>
      <c r="O30" s="206">
        <f t="shared" si="3"/>
        <v>0.65724197189425948</v>
      </c>
      <c r="P30" s="207">
        <f t="shared" si="4"/>
        <v>0.35320627999225762</v>
      </c>
      <c r="Q30" s="218">
        <f t="shared" si="0"/>
        <v>1.1739130434782608</v>
      </c>
      <c r="R30" s="206">
        <f t="shared" si="5"/>
        <v>1</v>
      </c>
      <c r="S30" s="206">
        <f t="shared" si="21"/>
        <v>0.17391304347826075</v>
      </c>
      <c r="T30" s="218" cm="1">
        <f t="array" ref="T30">IF(Q30="", "", IF(Q30&lt;1, 0, SUM(EXP(-0.01*_xlfn.SEQUENCE(1,R30)*K30)*(2-EXP(0.00693*_xlfn.SEQUENCE(1, R30)*K30)))))</f>
        <v>0.65724197189425948</v>
      </c>
      <c r="U30" s="206">
        <f t="shared" si="6"/>
        <v>6.8568526251975154E-2</v>
      </c>
      <c r="V30" s="206">
        <f t="shared" si="7"/>
        <v>0.72581049814623466</v>
      </c>
      <c r="W30" s="218" cm="1">
        <f t="array" ref="W30">IF(Q30="", "", IF(Q30&lt;1, 0, SUM(EXP(-0.037*_xlfn.SEQUENCE(1,R30)*K30)*(2-EXP(0.00693*_xlfn.SEQUENCE(1, R30)*K30)))))</f>
        <v>0.35320627999225762</v>
      </c>
      <c r="X30" s="206">
        <f t="shared" si="8"/>
        <v>1.9803003704826821E-2</v>
      </c>
      <c r="Y30" s="207">
        <f t="shared" si="22"/>
        <v>0.37300928369708442</v>
      </c>
      <c r="Z30" s="218">
        <f t="shared" si="23"/>
        <v>0.45749011548373314</v>
      </c>
      <c r="AA30" s="218">
        <f t="shared" si="9"/>
        <v>0.30068170562266128</v>
      </c>
      <c r="AB30" s="207">
        <f t="shared" si="10"/>
        <v>0.16158838182323773</v>
      </c>
      <c r="AC30" s="206" cm="1">
        <f t="array" ref="AC30">IF(Q30="", "", IF(Q30&lt;1, 0, SUM(EXP(-0.01*_xlfn.SEQUENCE(1,R30)*K30)*(2-EXP(0.00693*_xlfn.SEQUENCE(1, R30)*K30))*EXP(-0.034*_xlfn.SEQUENCE(1, R30)*K30))))</f>
        <v>0.30068170562266128</v>
      </c>
      <c r="AD30" s="206">
        <f t="shared" si="11"/>
        <v>6.8568526251975154E-2</v>
      </c>
      <c r="AE30" s="206">
        <f t="shared" si="12"/>
        <v>0.36925023187463646</v>
      </c>
      <c r="AF30" s="218" cm="1">
        <f t="array" ref="AF30">IF(Q30="", "", IF(Q30&lt;1, 0, SUM(EXP(-0.037*_xlfn.SEQUENCE(1,R30)*K30)*(2-EXP(0.00693*_xlfn.SEQUENCE(1, R30)*K30))*EXP(-0.034*_xlfn.SEQUENCE(1, R30)*K30))))</f>
        <v>0.16158838182323773</v>
      </c>
      <c r="AG30" s="206">
        <f t="shared" si="13"/>
        <v>4.1447133411805243E-3</v>
      </c>
      <c r="AH30" s="207">
        <f t="shared" si="14"/>
        <v>0.16573309516441825</v>
      </c>
      <c r="AI30" s="218">
        <f t="shared" si="15"/>
        <v>0.50157606906605556</v>
      </c>
      <c r="AJ30" s="226">
        <f t="shared" si="16"/>
        <v>24</v>
      </c>
      <c r="AK30" s="226">
        <f t="shared" si="17"/>
        <v>26</v>
      </c>
      <c r="AL30" s="206" cm="1">
        <f t="array" ref="AL30">IF(AK30=0, "", SUM(EXP(-0.03*_xlfn.SEQUENCE(1,AK30, AJ30))))</f>
        <v>8.9198732869777437</v>
      </c>
      <c r="AM30" s="210">
        <f t="shared" si="1"/>
        <v>33.719159424796857</v>
      </c>
      <c r="AN30" s="1">
        <f t="shared" si="18"/>
        <v>3.9987040902038903E-2</v>
      </c>
      <c r="AO30" s="210">
        <f t="shared" si="2"/>
        <v>2.2479079866764713</v>
      </c>
      <c r="AP30" s="210">
        <f t="shared" si="24"/>
        <v>77.829752352837872</v>
      </c>
      <c r="AT30" s="210" t="str">
        <v>Y</v>
      </c>
      <c r="AU30" s="210" t="str">
        <v>N</v>
      </c>
      <c r="AV30" s="210" t="str">
        <v>N</v>
      </c>
      <c r="AW30" s="210" t="str">
        <v>N</v>
      </c>
      <c r="AX30" s="210" t="str">
        <v>N</v>
      </c>
      <c r="AY30" s="210" t="str">
        <v>N</v>
      </c>
      <c r="AZ30" s="210" t="str">
        <v>N</v>
      </c>
      <c r="BA30" s="210" t="str">
        <v>N</v>
      </c>
      <c r="BB30" s="210" t="str">
        <v>N</v>
      </c>
      <c r="BC30" s="210" t="str">
        <v>N</v>
      </c>
      <c r="BD30" s="210" t="str">
        <v>N</v>
      </c>
      <c r="BE30" s="210" t="str">
        <v>N</v>
      </c>
      <c r="BF30" s="210" t="str">
        <v>N</v>
      </c>
      <c r="BG30" s="210" t="str">
        <v>N</v>
      </c>
      <c r="BH30" s="210" t="str">
        <v>N</v>
      </c>
      <c r="BI30" s="210" t="str">
        <v>N</v>
      </c>
      <c r="BJ30" s="210" t="str">
        <v>N</v>
      </c>
      <c r="BK30" s="210" t="str">
        <v>N</v>
      </c>
      <c r="BL30" s="210" t="str">
        <v>N</v>
      </c>
      <c r="BM30" s="210" t="str">
        <v>N</v>
      </c>
      <c r="BN30" s="210" t="str">
        <v>N</v>
      </c>
      <c r="BO30" s="210" t="str">
        <v>N</v>
      </c>
      <c r="BP30" s="210" t="str">
        <v>Y</v>
      </c>
      <c r="BQ30" s="210" t="str">
        <v>N</v>
      </c>
      <c r="BR30" s="210" t="str">
        <v>N</v>
      </c>
      <c r="BS30" s="210" t="str">
        <v>N</v>
      </c>
      <c r="BT30" s="210" t="str">
        <v>N</v>
      </c>
      <c r="BU30" s="210" t="str">
        <v>N</v>
      </c>
      <c r="BV30" s="210" t="str">
        <v>N</v>
      </c>
      <c r="BW30" s="210" t="str">
        <v>N</v>
      </c>
      <c r="BX30" s="210" t="str">
        <v>N</v>
      </c>
      <c r="BY30" s="210" t="str">
        <v>N</v>
      </c>
      <c r="BZ30" s="210" t="str">
        <v>N</v>
      </c>
      <c r="CA30" s="210" t="str">
        <v>N</v>
      </c>
      <c r="CB30" s="210" t="str">
        <v>N</v>
      </c>
      <c r="CC30" s="210" t="str">
        <v>N</v>
      </c>
      <c r="CD30" s="210" t="str">
        <v>N</v>
      </c>
      <c r="CE30" s="210" t="str">
        <v>N</v>
      </c>
      <c r="CF30" s="210" t="str">
        <v>N</v>
      </c>
      <c r="CG30" s="210" t="str">
        <v>N</v>
      </c>
      <c r="CH30" s="210" t="str">
        <v>N</v>
      </c>
      <c r="CI30" s="210" t="str">
        <v>N</v>
      </c>
      <c r="CJ30" s="210" t="str">
        <v>N</v>
      </c>
      <c r="CK30" s="210" t="str">
        <v>N</v>
      </c>
      <c r="CL30" s="210" t="str">
        <v>N</v>
      </c>
      <c r="CM30" s="210" t="str">
        <v>N</v>
      </c>
      <c r="CN30" s="210" t="str">
        <v>N</v>
      </c>
      <c r="CO30" s="1" t="str">
        <v>N</v>
      </c>
      <c r="CP30" s="1" t="str">
        <v>N</v>
      </c>
      <c r="CQ30" s="1" t="str">
        <v>N</v>
      </c>
      <c r="CR30" s="1" t="str">
        <v>N</v>
      </c>
    </row>
    <row r="31" spans="2:96">
      <c r="B31" s="466">
        <v>2031</v>
      </c>
      <c r="C31" s="467"/>
      <c r="D31" s="467"/>
      <c r="E31" s="485">
        <f t="shared" si="28"/>
        <v>0.23857333333333336</v>
      </c>
      <c r="F31" s="485">
        <f t="shared" si="29"/>
        <v>0.10839593037087991</v>
      </c>
      <c r="G31" s="468"/>
      <c r="H31" s="469"/>
      <c r="I31" s="470"/>
      <c r="J31" s="1">
        <v>0</v>
      </c>
      <c r="K31" s="220">
        <v>24</v>
      </c>
      <c r="L31" s="218">
        <f t="shared" si="25"/>
        <v>0.81904905443238163</v>
      </c>
      <c r="M31" s="206">
        <f t="shared" si="19"/>
        <v>0.78662786106655347</v>
      </c>
      <c r="N31" s="206">
        <f t="shared" si="20"/>
        <v>0.41147788611717062</v>
      </c>
      <c r="O31" s="206">
        <f t="shared" si="3"/>
        <v>0.64428680579672748</v>
      </c>
      <c r="P31" s="207">
        <f t="shared" si="4"/>
        <v>0.33702057354410381</v>
      </c>
      <c r="Q31" s="218">
        <f t="shared" si="0"/>
        <v>1.0833333333333335</v>
      </c>
      <c r="R31" s="206">
        <f t="shared" si="5"/>
        <v>1</v>
      </c>
      <c r="S31" s="206">
        <f t="shared" si="21"/>
        <v>8.3333333333333481E-2</v>
      </c>
      <c r="T31" s="218" cm="1">
        <f t="array" ref="T31">IF(Q31="", "", IF(Q31&lt;1, 0, SUM(EXP(-0.01*_xlfn.SEQUENCE(1,R31)*K31)*(2-EXP(0.00693*_xlfn.SEQUENCE(1, R31)*K31)))))</f>
        <v>0.64428680579672748</v>
      </c>
      <c r="U31" s="206">
        <f t="shared" si="6"/>
        <v>3.1215294674424621E-2</v>
      </c>
      <c r="V31" s="206">
        <f t="shared" si="7"/>
        <v>0.67550210047115211</v>
      </c>
      <c r="W31" s="218" cm="1">
        <f t="array" ref="W31">IF(Q31="", "", IF(Q31&lt;1, 0, SUM(EXP(-0.037*_xlfn.SEQUENCE(1,R31)*K31)*(2-EXP(0.00693*_xlfn.SEQUENCE(1, R31)*K31)))))</f>
        <v>0.33702057354410381</v>
      </c>
      <c r="X31" s="206">
        <f t="shared" si="8"/>
        <v>8.541257016732513E-3</v>
      </c>
      <c r="Y31" s="207">
        <f t="shared" si="22"/>
        <v>0.34556183056083634</v>
      </c>
      <c r="Z31" s="218">
        <f t="shared" si="23"/>
        <v>0.44219690927989863</v>
      </c>
      <c r="AA31" s="218">
        <f t="shared" si="9"/>
        <v>0.28490163421313119</v>
      </c>
      <c r="AB31" s="207">
        <f t="shared" si="10"/>
        <v>0.14902945598494147</v>
      </c>
      <c r="AC31" s="206" cm="1">
        <f t="array" ref="AC31">IF(Q31="", "", IF(Q31&lt;1, 0, SUM(EXP(-0.01*_xlfn.SEQUENCE(1,R31)*K31)*(2-EXP(0.00693*_xlfn.SEQUENCE(1, R31)*K31))*EXP(-0.034*_xlfn.SEQUENCE(1, R31)*K31))))</f>
        <v>0.28490163421313119</v>
      </c>
      <c r="AD31" s="206">
        <f t="shared" si="11"/>
        <v>3.1215294674424621E-2</v>
      </c>
      <c r="AE31" s="206">
        <f t="shared" si="12"/>
        <v>0.31611692888755583</v>
      </c>
      <c r="AF31" s="218" cm="1">
        <f t="array" ref="AF31">IF(Q31="", "", IF(Q31&lt;1, 0, SUM(EXP(-0.037*_xlfn.SEQUENCE(1,R31)*K31)*(2-EXP(0.00693*_xlfn.SEQUENCE(1, R31)*K31))*EXP(-0.034*_xlfn.SEQUENCE(1, R31)*K31))))</f>
        <v>0.14902945598494147</v>
      </c>
      <c r="AG31" s="206">
        <f t="shared" si="13"/>
        <v>1.6701412248367852E-3</v>
      </c>
      <c r="AH31" s="207">
        <f t="shared" si="14"/>
        <v>0.15069959720977824</v>
      </c>
      <c r="AI31" s="218">
        <f t="shared" si="15"/>
        <v>0.48675225595997168</v>
      </c>
      <c r="AJ31" s="226">
        <f t="shared" si="16"/>
        <v>25</v>
      </c>
      <c r="AK31" s="226">
        <f t="shared" si="17"/>
        <v>25</v>
      </c>
      <c r="AL31" s="206" cm="1">
        <f t="array" ref="AL31">IF(AK31=0, "", SUM(EXP(-0.03*_xlfn.SEQUENCE(1,AK31, AJ31))))</f>
        <v>8.4331210310177713</v>
      </c>
      <c r="AM31" s="210">
        <f t="shared" si="1"/>
        <v>33.246792872055849</v>
      </c>
      <c r="AN31" s="1">
        <f t="shared" si="18"/>
        <v>0</v>
      </c>
      <c r="AO31" s="210">
        <f t="shared" si="2"/>
        <v>2.1814722654982011</v>
      </c>
      <c r="AP31" s="210">
        <f t="shared" si="24"/>
        <v>80.011224618336072</v>
      </c>
      <c r="AT31" s="210" t="str">
        <v>Y</v>
      </c>
      <c r="AU31" s="210" t="str">
        <v>Y</v>
      </c>
      <c r="AV31" s="210" t="str">
        <v>Y</v>
      </c>
      <c r="AW31" s="210" t="str">
        <v>Y</v>
      </c>
      <c r="AX31" s="210" t="str">
        <v>N</v>
      </c>
      <c r="AY31" s="210" t="str">
        <v>Y</v>
      </c>
      <c r="AZ31" s="210" t="str">
        <v>N</v>
      </c>
      <c r="BA31" s="210" t="str">
        <v>Y</v>
      </c>
      <c r="BB31" s="210" t="str">
        <v>N</v>
      </c>
      <c r="BC31" s="210" t="str">
        <v>N</v>
      </c>
      <c r="BD31" s="210" t="str">
        <v>N</v>
      </c>
      <c r="BE31" s="210" t="str">
        <v>Y</v>
      </c>
      <c r="BF31" s="210" t="str">
        <v>N</v>
      </c>
      <c r="BG31" s="210" t="str">
        <v>N</v>
      </c>
      <c r="BH31" s="210" t="str">
        <v>N</v>
      </c>
      <c r="BI31" s="210" t="str">
        <v>N</v>
      </c>
      <c r="BJ31" s="210" t="str">
        <v>N</v>
      </c>
      <c r="BK31" s="210" t="str">
        <v>N</v>
      </c>
      <c r="BL31" s="210" t="str">
        <v>N</v>
      </c>
      <c r="BM31" s="210" t="str">
        <v>N</v>
      </c>
      <c r="BN31" s="210" t="str">
        <v>N</v>
      </c>
      <c r="BO31" s="210" t="str">
        <v>N</v>
      </c>
      <c r="BP31" s="210" t="str">
        <v>N</v>
      </c>
      <c r="BQ31" s="210" t="str">
        <v>Y</v>
      </c>
      <c r="BR31" s="210" t="str">
        <v>N</v>
      </c>
      <c r="BS31" s="210" t="str">
        <v>N</v>
      </c>
      <c r="BT31" s="210" t="str">
        <v>N</v>
      </c>
      <c r="BU31" s="210" t="str">
        <v>N</v>
      </c>
      <c r="BV31" s="210" t="str">
        <v>N</v>
      </c>
      <c r="BW31" s="210" t="str">
        <v>N</v>
      </c>
      <c r="BX31" s="210" t="str">
        <v>N</v>
      </c>
      <c r="BY31" s="210" t="str">
        <v>N</v>
      </c>
      <c r="BZ31" s="210" t="str">
        <v>N</v>
      </c>
      <c r="CA31" s="210" t="str">
        <v>N</v>
      </c>
      <c r="CB31" s="210" t="str">
        <v>N</v>
      </c>
      <c r="CC31" s="210" t="str">
        <v>N</v>
      </c>
      <c r="CD31" s="210" t="str">
        <v>N</v>
      </c>
      <c r="CE31" s="210" t="str">
        <v>N</v>
      </c>
      <c r="CF31" s="210" t="str">
        <v>N</v>
      </c>
      <c r="CG31" s="210" t="str">
        <v>N</v>
      </c>
      <c r="CH31" s="210" t="str">
        <v>N</v>
      </c>
      <c r="CI31" s="210" t="str">
        <v>N</v>
      </c>
      <c r="CJ31" s="210" t="str">
        <v>N</v>
      </c>
      <c r="CK31" s="210" t="str">
        <v>N</v>
      </c>
      <c r="CL31" s="210" t="str">
        <v>N</v>
      </c>
      <c r="CM31" s="210" t="str">
        <v>N</v>
      </c>
      <c r="CN31" s="210" t="str">
        <v>N</v>
      </c>
      <c r="CO31" s="1" t="str">
        <v>N</v>
      </c>
      <c r="CP31" s="1" t="str">
        <v>N</v>
      </c>
      <c r="CQ31" s="1" t="str">
        <v>N</v>
      </c>
      <c r="CR31" s="1" t="str">
        <v>N</v>
      </c>
    </row>
    <row r="32" spans="2:96">
      <c r="B32" s="101">
        <v>2032</v>
      </c>
      <c r="C32" s="191"/>
      <c r="D32" s="191"/>
      <c r="E32" s="483">
        <f t="shared" si="28"/>
        <v>0.22728000000000001</v>
      </c>
      <c r="F32" s="483">
        <f t="shared" si="29"/>
        <v>0.10731737284277605</v>
      </c>
      <c r="G32" s="69"/>
      <c r="H32" s="47"/>
      <c r="I32" s="70"/>
      <c r="J32" s="1">
        <v>0</v>
      </c>
      <c r="K32" s="220">
        <v>25</v>
      </c>
      <c r="L32" s="218">
        <f t="shared" si="25"/>
        <v>0.81083664123453469</v>
      </c>
      <c r="M32" s="206">
        <f t="shared" si="19"/>
        <v>0.77880078307140488</v>
      </c>
      <c r="N32" s="206">
        <f t="shared" si="20"/>
        <v>0.3965314190749929</v>
      </c>
      <c r="O32" s="206">
        <f t="shared" si="3"/>
        <v>0.63148021113644337</v>
      </c>
      <c r="P32" s="207">
        <f t="shared" si="4"/>
        <v>0.32152220398673093</v>
      </c>
      <c r="Q32" s="218">
        <f t="shared" si="0"/>
        <v>1</v>
      </c>
      <c r="R32" s="206">
        <f t="shared" si="5"/>
        <v>1</v>
      </c>
      <c r="S32" s="206">
        <f t="shared" si="21"/>
        <v>0</v>
      </c>
      <c r="T32" s="218" cm="1">
        <f t="array" ref="T32">IF(Q32="", "", IF(Q32&lt;1, 0, SUM(EXP(-0.01*_xlfn.SEQUENCE(1,R32)*K32)*(2-EXP(0.00693*_xlfn.SEQUENCE(1, R32)*K32)))))</f>
        <v>0.63148021113644337</v>
      </c>
      <c r="U32" s="206">
        <f t="shared" si="6"/>
        <v>0</v>
      </c>
      <c r="V32" s="206">
        <f t="shared" si="7"/>
        <v>0.63148021113644337</v>
      </c>
      <c r="W32" s="218" cm="1">
        <f t="array" ref="W32">IF(Q32="", "", IF(Q32&lt;1, 0, SUM(EXP(-0.037*_xlfn.SEQUENCE(1,R32)*K32)*(2-EXP(0.00693*_xlfn.SEQUENCE(1, R32)*K32)))))</f>
        <v>0.32152220398673093</v>
      </c>
      <c r="X32" s="206">
        <f t="shared" si="8"/>
        <v>0</v>
      </c>
      <c r="Y32" s="207">
        <f t="shared" si="22"/>
        <v>0.32152220398673093</v>
      </c>
      <c r="Z32" s="218">
        <f t="shared" si="23"/>
        <v>0.42741493194872665</v>
      </c>
      <c r="AA32" s="218">
        <f t="shared" si="9"/>
        <v>0.26990407146985046</v>
      </c>
      <c r="AB32" s="207">
        <f t="shared" si="10"/>
        <v>0.13742339093699321</v>
      </c>
      <c r="AC32" s="206" cm="1">
        <f t="array" ref="AC32">IF(Q32="", "", IF(Q32&lt;1, 0, SUM(EXP(-0.01*_xlfn.SEQUENCE(1,R32)*K32)*(2-EXP(0.00693*_xlfn.SEQUENCE(1, R32)*K32))*EXP(-0.034*_xlfn.SEQUENCE(1, R32)*K32))))</f>
        <v>0.26990407146985046</v>
      </c>
      <c r="AD32" s="206">
        <f t="shared" si="11"/>
        <v>0</v>
      </c>
      <c r="AE32" s="206">
        <f t="shared" si="12"/>
        <v>0.26990407146985046</v>
      </c>
      <c r="AF32" s="218" cm="1">
        <f t="array" ref="AF32">IF(Q32="", "", IF(Q32&lt;1, 0, SUM(EXP(-0.037*_xlfn.SEQUENCE(1,R32)*K32)*(2-EXP(0.00693*_xlfn.SEQUENCE(1, R32)*K32))*EXP(-0.034*_xlfn.SEQUENCE(1, R32)*K32))))</f>
        <v>0.13742339093699321</v>
      </c>
      <c r="AG32" s="206">
        <f t="shared" si="13"/>
        <v>0</v>
      </c>
      <c r="AH32" s="207">
        <f t="shared" si="14"/>
        <v>0.13742339093699321</v>
      </c>
      <c r="AI32" s="218">
        <f t="shared" si="15"/>
        <v>0.47236655274101469</v>
      </c>
      <c r="AJ32" s="226">
        <f t="shared" si="16"/>
        <v>26</v>
      </c>
      <c r="AK32" s="226">
        <f t="shared" si="17"/>
        <v>24</v>
      </c>
      <c r="AL32" s="206" cm="1">
        <f t="array" ref="AL32">IF(AK32=0, "", SUM(EXP(-0.03*_xlfn.SEQUENCE(1,AK32, AJ32))))</f>
        <v>7.9607544782767583</v>
      </c>
      <c r="AM32" s="210">
        <f t="shared" si="1"/>
        <v>25.286038393779087</v>
      </c>
      <c r="AN32" s="1">
        <f t="shared" si="18"/>
        <v>0</v>
      </c>
      <c r="AO32" s="210">
        <f t="shared" si="2"/>
        <v>2.1170000166126748</v>
      </c>
      <c r="AP32" s="210">
        <f t="shared" si="24"/>
        <v>82.128224634948751</v>
      </c>
      <c r="AT32" s="210" t="str">
        <v>Y</v>
      </c>
      <c r="AU32" s="210" t="str">
        <v>N</v>
      </c>
      <c r="AV32" s="210" t="str">
        <v>N</v>
      </c>
      <c r="AW32" s="210" t="str">
        <v>N</v>
      </c>
      <c r="AX32" s="210" t="str">
        <v>Y</v>
      </c>
      <c r="AY32" s="210" t="str">
        <v>N</v>
      </c>
      <c r="AZ32" s="210" t="str">
        <v>N</v>
      </c>
      <c r="BA32" s="210" t="str">
        <v>N</v>
      </c>
      <c r="BB32" s="210" t="str">
        <v>N</v>
      </c>
      <c r="BC32" s="210" t="str">
        <v>N</v>
      </c>
      <c r="BD32" s="210" t="str">
        <v>N</v>
      </c>
      <c r="BE32" s="210" t="str">
        <v>N</v>
      </c>
      <c r="BF32" s="210" t="str">
        <v>N</v>
      </c>
      <c r="BG32" s="210" t="str">
        <v>N</v>
      </c>
      <c r="BH32" s="210" t="str">
        <v>N</v>
      </c>
      <c r="BI32" s="210" t="str">
        <v>N</v>
      </c>
      <c r="BJ32" s="210" t="str">
        <v>N</v>
      </c>
      <c r="BK32" s="210" t="str">
        <v>N</v>
      </c>
      <c r="BL32" s="210" t="str">
        <v>N</v>
      </c>
      <c r="BM32" s="210" t="str">
        <v>N</v>
      </c>
      <c r="BN32" s="210" t="str">
        <v>N</v>
      </c>
      <c r="BO32" s="210" t="str">
        <v>N</v>
      </c>
      <c r="BP32" s="210" t="str">
        <v>N</v>
      </c>
      <c r="BQ32" s="210" t="str">
        <v>N</v>
      </c>
      <c r="BR32" s="210" t="str">
        <v>Y</v>
      </c>
      <c r="BS32" s="210" t="str">
        <v>N</v>
      </c>
      <c r="BT32" s="210" t="str">
        <v>N</v>
      </c>
      <c r="BU32" s="210" t="str">
        <v>N</v>
      </c>
      <c r="BV32" s="210" t="str">
        <v>N</v>
      </c>
      <c r="BW32" s="210" t="str">
        <v>N</v>
      </c>
      <c r="BX32" s="210" t="str">
        <v>N</v>
      </c>
      <c r="BY32" s="210" t="str">
        <v>N</v>
      </c>
      <c r="BZ32" s="210" t="str">
        <v>N</v>
      </c>
      <c r="CA32" s="210" t="str">
        <v>N</v>
      </c>
      <c r="CB32" s="210" t="str">
        <v>N</v>
      </c>
      <c r="CC32" s="210" t="str">
        <v>N</v>
      </c>
      <c r="CD32" s="210" t="str">
        <v>N</v>
      </c>
      <c r="CE32" s="210" t="str">
        <v>N</v>
      </c>
      <c r="CF32" s="210" t="str">
        <v>N</v>
      </c>
      <c r="CG32" s="210" t="str">
        <v>N</v>
      </c>
      <c r="CH32" s="210" t="str">
        <v>N</v>
      </c>
      <c r="CI32" s="210" t="str">
        <v>N</v>
      </c>
      <c r="CJ32" s="210" t="str">
        <v>N</v>
      </c>
      <c r="CK32" s="210" t="str">
        <v>N</v>
      </c>
      <c r="CL32" s="210" t="str">
        <v>N</v>
      </c>
      <c r="CM32" s="210" t="str">
        <v>N</v>
      </c>
      <c r="CN32" s="210" t="str">
        <v>N</v>
      </c>
      <c r="CO32" s="1" t="str">
        <v>N</v>
      </c>
      <c r="CP32" s="1" t="str">
        <v>N</v>
      </c>
      <c r="CQ32" s="1" t="str">
        <v>N</v>
      </c>
      <c r="CR32" s="1" t="str">
        <v>N</v>
      </c>
    </row>
    <row r="33" spans="2:96">
      <c r="B33" s="101">
        <v>2033</v>
      </c>
      <c r="C33" s="191"/>
      <c r="D33" s="191"/>
      <c r="E33" s="483">
        <f t="shared" si="28"/>
        <v>0.21598666666666669</v>
      </c>
      <c r="F33" s="483">
        <f t="shared" si="29"/>
        <v>0.10624954714138792</v>
      </c>
      <c r="G33" s="69"/>
      <c r="H33" s="47"/>
      <c r="I33" s="70"/>
      <c r="J33" s="1">
        <v>0</v>
      </c>
      <c r="K33" s="220">
        <v>26</v>
      </c>
      <c r="L33" s="218">
        <f t="shared" si="25"/>
        <v>0.80256711835674288</v>
      </c>
      <c r="M33" s="206">
        <f t="shared" si="19"/>
        <v>0.77105158580356625</v>
      </c>
      <c r="N33" s="206">
        <f t="shared" si="20"/>
        <v>0.38212786547866506</v>
      </c>
      <c r="O33" s="206">
        <f t="shared" si="3"/>
        <v>0.61882064932276504</v>
      </c>
      <c r="P33" s="207">
        <f t="shared" si="4"/>
        <v>0.30668325984102529</v>
      </c>
      <c r="Q33" s="218">
        <f t="shared" si="0"/>
        <v>0.92307692307692313</v>
      </c>
      <c r="R33" s="206">
        <f t="shared" si="5"/>
        <v>0</v>
      </c>
      <c r="S33" s="206">
        <f t="shared" si="21"/>
        <v>0.92307692307692313</v>
      </c>
      <c r="T33" s="218" cm="1">
        <f t="array" ref="T33">IF(Q33="", "", IF(Q33&lt;1, 0, SUM(EXP(-0.01*_xlfn.SEQUENCE(1,R33)*K33)*(2-EXP(0.00693*_xlfn.SEQUENCE(1, R33)*K33)))))</f>
        <v>0</v>
      </c>
      <c r="U33" s="206">
        <f t="shared" si="6"/>
        <v>0.57121906091332153</v>
      </c>
      <c r="V33" s="206">
        <f t="shared" si="7"/>
        <v>0.57121906091332153</v>
      </c>
      <c r="W33" s="218" cm="1">
        <f t="array" ref="W33">IF(Q33="", "", IF(Q33&lt;1, 0, SUM(EXP(-0.037*_xlfn.SEQUENCE(1,R33)*K33)*(2-EXP(0.00693*_xlfn.SEQUENCE(1, R33)*K33)))))</f>
        <v>0</v>
      </c>
      <c r="X33" s="206">
        <f t="shared" si="8"/>
        <v>0.2830922398532541</v>
      </c>
      <c r="Y33" s="207">
        <f t="shared" si="22"/>
        <v>0.2830922398532541</v>
      </c>
      <c r="Z33" s="218">
        <f t="shared" si="23"/>
        <v>0.41312709387821822</v>
      </c>
      <c r="AA33" s="218">
        <f t="shared" si="9"/>
        <v>0.25565157648654591</v>
      </c>
      <c r="AB33" s="207">
        <f t="shared" si="10"/>
        <v>0.12669916387922125</v>
      </c>
      <c r="AC33" s="206" cm="1">
        <f t="array" ref="AC33">IF(Q33="", "", IF(Q33&lt;1, 0, SUM(EXP(-0.01*_xlfn.SEQUENCE(1,R33)*K33)*(2-EXP(0.00693*_xlfn.SEQUENCE(1, R33)*K33))*EXP(-0.034*_xlfn.SEQUENCE(1, R33)*K33))))</f>
        <v>0</v>
      </c>
      <c r="AD33" s="206">
        <f t="shared" si="11"/>
        <v>0.57121906091332153</v>
      </c>
      <c r="AE33" s="206">
        <f t="shared" si="12"/>
        <v>0.57121906091332153</v>
      </c>
      <c r="AF33" s="218" cm="1">
        <f t="array" ref="AF33">IF(Q33="", "", IF(Q33&lt;1, 0, SUM(EXP(-0.037*_xlfn.SEQUENCE(1,R33)*K33)*(2-EXP(0.00693*_xlfn.SEQUENCE(1, R33)*K33))*EXP(-0.034*_xlfn.SEQUENCE(1, R33)*K33))))</f>
        <v>0</v>
      </c>
      <c r="AG33" s="206">
        <f t="shared" si="13"/>
        <v>0.11695307435005038</v>
      </c>
      <c r="AH33" s="207">
        <f t="shared" si="14"/>
        <v>0.11695307435005038</v>
      </c>
      <c r="AI33" s="218">
        <f t="shared" si="15"/>
        <v>0.45840601130522352</v>
      </c>
      <c r="AJ33" s="226">
        <f t="shared" si="16"/>
        <v>27</v>
      </c>
      <c r="AK33" s="226">
        <f t="shared" si="17"/>
        <v>23</v>
      </c>
      <c r="AL33" s="206" cm="1">
        <f t="array" ref="AL33">IF(AK33=0, "", SUM(EXP(-0.03*_xlfn.SEQUENCE(1,AK33, AJ33))))</f>
        <v>7.5023484669715348</v>
      </c>
      <c r="AM33" s="210">
        <f t="shared" si="1"/>
        <v>25.286038393779087</v>
      </c>
      <c r="AN33" s="1">
        <f t="shared" si="18"/>
        <v>6.5146065237679327</v>
      </c>
      <c r="AO33" s="210">
        <f t="shared" si="2"/>
        <v>2.0544332106438876</v>
      </c>
      <c r="AP33" s="210">
        <f t="shared" si="24"/>
        <v>84.182657845592644</v>
      </c>
      <c r="AT33" s="210" t="str">
        <v>Y</v>
      </c>
      <c r="AU33" s="210" t="str">
        <v>Y</v>
      </c>
      <c r="AV33" s="210" t="str">
        <v>N</v>
      </c>
      <c r="AW33" s="210" t="str">
        <v>N</v>
      </c>
      <c r="AX33" s="210" t="str">
        <v>N</v>
      </c>
      <c r="AY33" s="210" t="str">
        <v>N</v>
      </c>
      <c r="AZ33" s="210" t="str">
        <v>N</v>
      </c>
      <c r="BA33" s="210" t="str">
        <v>N</v>
      </c>
      <c r="BB33" s="210" t="str">
        <v>N</v>
      </c>
      <c r="BC33" s="210" t="str">
        <v>N</v>
      </c>
      <c r="BD33" s="210" t="str">
        <v>N</v>
      </c>
      <c r="BE33" s="210" t="str">
        <v>N</v>
      </c>
      <c r="BF33" s="210" t="str">
        <v>Y</v>
      </c>
      <c r="BG33" s="210" t="str">
        <v>N</v>
      </c>
      <c r="BH33" s="210" t="str">
        <v>N</v>
      </c>
      <c r="BI33" s="210" t="str">
        <v>N</v>
      </c>
      <c r="BJ33" s="210" t="str">
        <v>N</v>
      </c>
      <c r="BK33" s="210" t="str">
        <v>N</v>
      </c>
      <c r="BL33" s="210" t="str">
        <v>N</v>
      </c>
      <c r="BM33" s="210" t="str">
        <v>N</v>
      </c>
      <c r="BN33" s="210" t="str">
        <v>N</v>
      </c>
      <c r="BO33" s="210" t="str">
        <v>N</v>
      </c>
      <c r="BP33" s="210" t="str">
        <v>N</v>
      </c>
      <c r="BQ33" s="210" t="str">
        <v>N</v>
      </c>
      <c r="BR33" s="210" t="str">
        <v>N</v>
      </c>
      <c r="BS33" s="210" t="str">
        <v>L</v>
      </c>
      <c r="BT33" s="210" t="str">
        <v>N</v>
      </c>
      <c r="BU33" s="210" t="str">
        <v>N</v>
      </c>
      <c r="BV33" s="210" t="str">
        <v>N</v>
      </c>
      <c r="BW33" s="210" t="str">
        <v>N</v>
      </c>
      <c r="BX33" s="210" t="str">
        <v>N</v>
      </c>
      <c r="BY33" s="210" t="str">
        <v>N</v>
      </c>
      <c r="BZ33" s="210" t="str">
        <v>N</v>
      </c>
      <c r="CA33" s="210" t="str">
        <v>N</v>
      </c>
      <c r="CB33" s="210" t="str">
        <v>N</v>
      </c>
      <c r="CC33" s="210" t="str">
        <v>N</v>
      </c>
      <c r="CD33" s="210" t="str">
        <v>N</v>
      </c>
      <c r="CE33" s="210" t="str">
        <v>N</v>
      </c>
      <c r="CF33" s="210" t="str">
        <v>N</v>
      </c>
      <c r="CG33" s="210" t="str">
        <v>N</v>
      </c>
      <c r="CH33" s="210" t="str">
        <v>N</v>
      </c>
      <c r="CI33" s="210" t="str">
        <v>N</v>
      </c>
      <c r="CJ33" s="210" t="str">
        <v>N</v>
      </c>
      <c r="CK33" s="210" t="str">
        <v>N</v>
      </c>
      <c r="CL33" s="210" t="str">
        <v>N</v>
      </c>
      <c r="CM33" s="210" t="str">
        <v>N</v>
      </c>
      <c r="CN33" s="210" t="str">
        <v>N</v>
      </c>
      <c r="CO33" s="1" t="str">
        <v>N</v>
      </c>
      <c r="CP33" s="1" t="str">
        <v>N</v>
      </c>
      <c r="CQ33" s="1" t="str">
        <v>N</v>
      </c>
      <c r="CR33" s="1" t="str">
        <v>N</v>
      </c>
    </row>
    <row r="34" spans="2:96">
      <c r="B34" s="101">
        <v>2034</v>
      </c>
      <c r="C34" s="191"/>
      <c r="D34" s="191"/>
      <c r="E34" s="483">
        <f t="shared" si="28"/>
        <v>0.20469333333333334</v>
      </c>
      <c r="F34" s="483">
        <f t="shared" si="29"/>
        <v>0.10519234648325551</v>
      </c>
      <c r="G34" s="69"/>
      <c r="H34" s="47"/>
      <c r="I34" s="70"/>
      <c r="J34" s="1">
        <v>0</v>
      </c>
      <c r="K34" s="220">
        <v>27</v>
      </c>
      <c r="L34" s="218">
        <f t="shared" si="25"/>
        <v>0.79424008865440721</v>
      </c>
      <c r="M34" s="206">
        <f t="shared" si="19"/>
        <v>0.76337949433685315</v>
      </c>
      <c r="N34" s="206">
        <f t="shared" si="20"/>
        <v>0.3682475046136629</v>
      </c>
      <c r="O34" s="206">
        <f t="shared" si="3"/>
        <v>0.60630659725905878</v>
      </c>
      <c r="P34" s="207">
        <f t="shared" si="4"/>
        <v>0.29247693071111985</v>
      </c>
      <c r="Q34" s="218">
        <f t="shared" si="0"/>
        <v>0.85185185185185186</v>
      </c>
      <c r="R34" s="206">
        <f t="shared" si="5"/>
        <v>0</v>
      </c>
      <c r="S34" s="206">
        <f t="shared" si="21"/>
        <v>0.85185185185185186</v>
      </c>
      <c r="T34" s="218" cm="1">
        <f t="array" ref="T34">IF(Q34="", "", IF(Q34&lt;1, 0, SUM(EXP(-0.01*_xlfn.SEQUENCE(1,R34)*K34)*(2-EXP(0.00693*_xlfn.SEQUENCE(1, R34)*K34)))))</f>
        <v>0</v>
      </c>
      <c r="U34" s="206">
        <f t="shared" si="6"/>
        <v>0.51648339766512419</v>
      </c>
      <c r="V34" s="206">
        <f t="shared" si="7"/>
        <v>0.51648339766512419</v>
      </c>
      <c r="W34" s="218" cm="1">
        <f t="array" ref="W34">IF(Q34="", "", IF(Q34&lt;1, 0, SUM(EXP(-0.037*_xlfn.SEQUENCE(1,R34)*K34)*(2-EXP(0.00693*_xlfn.SEQUENCE(1, R34)*K34)))))</f>
        <v>0</v>
      </c>
      <c r="X34" s="206">
        <f t="shared" si="8"/>
        <v>0.24914701505021319</v>
      </c>
      <c r="Y34" s="207">
        <f t="shared" si="22"/>
        <v>0.24914701505021319</v>
      </c>
      <c r="Z34" s="218">
        <f t="shared" si="23"/>
        <v>0.39931687673638988</v>
      </c>
      <c r="AA34" s="218">
        <f t="shared" si="9"/>
        <v>0.24210845676215556</v>
      </c>
      <c r="AB34" s="207">
        <f t="shared" si="10"/>
        <v>0.11679097448900989</v>
      </c>
      <c r="AC34" s="206" cm="1">
        <f t="array" ref="AC34">IF(Q34="", "", IF(Q34&lt;1, 0, SUM(EXP(-0.01*_xlfn.SEQUENCE(1,R34)*K34)*(2-EXP(0.00693*_xlfn.SEQUENCE(1, R34)*K34))*EXP(-0.034*_xlfn.SEQUENCE(1, R34)*K34))))</f>
        <v>0</v>
      </c>
      <c r="AD34" s="206">
        <f t="shared" si="11"/>
        <v>0.51648339766512419</v>
      </c>
      <c r="AE34" s="206">
        <f t="shared" si="12"/>
        <v>0.51648339766512419</v>
      </c>
      <c r="AF34" s="218" cm="1">
        <f t="array" ref="AF34">IF(Q34="", "", IF(Q34&lt;1, 0, SUM(EXP(-0.037*_xlfn.SEQUENCE(1,R34)*K34)*(2-EXP(0.00693*_xlfn.SEQUENCE(1, R34)*K34))*EXP(-0.034*_xlfn.SEQUENCE(1, R34)*K34))))</f>
        <v>0</v>
      </c>
      <c r="AG34" s="206">
        <f t="shared" si="13"/>
        <v>9.948860789804545E-2</v>
      </c>
      <c r="AH34" s="207">
        <f t="shared" si="14"/>
        <v>9.948860789804545E-2</v>
      </c>
      <c r="AI34" s="218">
        <f t="shared" si="15"/>
        <v>0.44485806622294116</v>
      </c>
      <c r="AJ34" s="226">
        <f t="shared" si="16"/>
        <v>28</v>
      </c>
      <c r="AK34" s="226">
        <f t="shared" si="17"/>
        <v>22</v>
      </c>
      <c r="AL34" s="206" cm="1">
        <f t="array" ref="AL34">IF(AK34=0, "", SUM(EXP(-0.03*_xlfn.SEQUENCE(1,AK34, AJ34))))</f>
        <v>7.057490400748593</v>
      </c>
      <c r="AM34" s="210">
        <f t="shared" si="1"/>
        <v>25.286038393779087</v>
      </c>
      <c r="AN34" s="1">
        <f t="shared" si="18"/>
        <v>5.6441828584573646</v>
      </c>
      <c r="AO34" s="210">
        <f t="shared" si="2"/>
        <v>1.9937155332430823</v>
      </c>
      <c r="AP34" s="210">
        <f t="shared" si="24"/>
        <v>86.17637337883572</v>
      </c>
      <c r="AT34" s="210" t="str">
        <v>Y</v>
      </c>
      <c r="AU34" s="210" t="str">
        <v>N</v>
      </c>
      <c r="AV34" s="210" t="str">
        <v>Y</v>
      </c>
      <c r="AW34" s="210" t="str">
        <v>N</v>
      </c>
      <c r="AX34" s="210" t="str">
        <v>N</v>
      </c>
      <c r="AY34" s="210" t="str">
        <v>N</v>
      </c>
      <c r="AZ34" s="210" t="str">
        <v>N</v>
      </c>
      <c r="BA34" s="210" t="str">
        <v>N</v>
      </c>
      <c r="BB34" s="210" t="str">
        <v>Y</v>
      </c>
      <c r="BC34" s="210" t="str">
        <v>N</v>
      </c>
      <c r="BD34" s="210" t="str">
        <v>N</v>
      </c>
      <c r="BE34" s="210" t="str">
        <v>N</v>
      </c>
      <c r="BF34" s="210" t="str">
        <v>N</v>
      </c>
      <c r="BG34" s="210" t="str">
        <v>N</v>
      </c>
      <c r="BH34" s="210" t="str">
        <v>N</v>
      </c>
      <c r="BI34" s="210" t="str">
        <v>N</v>
      </c>
      <c r="BJ34" s="210" t="str">
        <v>N</v>
      </c>
      <c r="BK34" s="210" t="str">
        <v>N</v>
      </c>
      <c r="BL34" s="210" t="str">
        <v>N</v>
      </c>
      <c r="BM34" s="210" t="str">
        <v>N</v>
      </c>
      <c r="BN34" s="210" t="str">
        <v>N</v>
      </c>
      <c r="BO34" s="210" t="str">
        <v>N</v>
      </c>
      <c r="BP34" s="210" t="str">
        <v>N</v>
      </c>
      <c r="BQ34" s="210" t="str">
        <v>N</v>
      </c>
      <c r="BR34" s="210" t="str">
        <v>N</v>
      </c>
      <c r="BS34" s="210" t="str">
        <v>N</v>
      </c>
      <c r="BT34" s="210" t="str">
        <v>L</v>
      </c>
      <c r="BU34" s="210" t="str">
        <v>N</v>
      </c>
      <c r="BV34" s="210" t="str">
        <v>N</v>
      </c>
      <c r="BW34" s="210" t="str">
        <v>N</v>
      </c>
      <c r="BX34" s="210" t="str">
        <v>N</v>
      </c>
      <c r="BY34" s="210" t="str">
        <v>N</v>
      </c>
      <c r="BZ34" s="210" t="str">
        <v>N</v>
      </c>
      <c r="CA34" s="210" t="str">
        <v>N</v>
      </c>
      <c r="CB34" s="210" t="str">
        <v>N</v>
      </c>
      <c r="CC34" s="210" t="str">
        <v>N</v>
      </c>
      <c r="CD34" s="210" t="str">
        <v>N</v>
      </c>
      <c r="CE34" s="210" t="str">
        <v>N</v>
      </c>
      <c r="CF34" s="210" t="str">
        <v>N</v>
      </c>
      <c r="CG34" s="210" t="str">
        <v>N</v>
      </c>
      <c r="CH34" s="210" t="str">
        <v>N</v>
      </c>
      <c r="CI34" s="210" t="str">
        <v>N</v>
      </c>
      <c r="CJ34" s="210" t="str">
        <v>N</v>
      </c>
      <c r="CK34" s="210" t="str">
        <v>N</v>
      </c>
      <c r="CL34" s="210" t="str">
        <v>N</v>
      </c>
      <c r="CM34" s="210" t="str">
        <v>N</v>
      </c>
      <c r="CN34" s="210" t="str">
        <v>N</v>
      </c>
      <c r="CO34" s="1" t="str">
        <v>N</v>
      </c>
      <c r="CP34" s="1" t="str">
        <v>N</v>
      </c>
      <c r="CQ34" s="1" t="str">
        <v>N</v>
      </c>
      <c r="CR34" s="1" t="str">
        <v>N</v>
      </c>
    </row>
    <row r="35" spans="2:96">
      <c r="B35" s="101">
        <v>2035</v>
      </c>
      <c r="C35" s="191"/>
      <c r="D35" s="191"/>
      <c r="E35" s="483">
        <f t="shared" si="28"/>
        <v>0.19340000000000002</v>
      </c>
      <c r="F35" s="483">
        <f t="shared" si="29"/>
        <v>0.104145665147432</v>
      </c>
      <c r="G35" s="69"/>
      <c r="H35" s="47"/>
      <c r="I35" s="70"/>
      <c r="J35" s="1">
        <v>0</v>
      </c>
      <c r="K35" s="220">
        <v>28</v>
      </c>
      <c r="L35" s="218">
        <f t="shared" si="25"/>
        <v>0.78585515222115876</v>
      </c>
      <c r="M35" s="206">
        <f t="shared" si="19"/>
        <v>0.75578374145572547</v>
      </c>
      <c r="N35" s="206">
        <f t="shared" si="20"/>
        <v>0.3548713320980274</v>
      </c>
      <c r="O35" s="206">
        <f t="shared" si="3"/>
        <v>0.59393654718796607</v>
      </c>
      <c r="P35" s="207">
        <f t="shared" si="4"/>
        <v>0.27887746470482072</v>
      </c>
      <c r="Q35" s="218">
        <f t="shared" si="0"/>
        <v>0.78571428571428581</v>
      </c>
      <c r="R35" s="206">
        <f t="shared" si="5"/>
        <v>0</v>
      </c>
      <c r="S35" s="206">
        <f t="shared" si="21"/>
        <v>0.78571428571428581</v>
      </c>
      <c r="T35" s="218" cm="1">
        <f t="array" ref="T35">IF(Q35="", "", IF(Q35&lt;1, 0, SUM(EXP(-0.01*_xlfn.SEQUENCE(1,R35)*K35)*(2-EXP(0.00693*_xlfn.SEQUENCE(1, R35)*K35)))))</f>
        <v>0</v>
      </c>
      <c r="U35" s="206">
        <f t="shared" si="6"/>
        <v>0.46666442993340196</v>
      </c>
      <c r="V35" s="206">
        <f t="shared" si="7"/>
        <v>0.46666442993340196</v>
      </c>
      <c r="W35" s="218" cm="1">
        <f t="array" ref="W35">IF(Q35="", "", IF(Q35&lt;1, 0, SUM(EXP(-0.037*_xlfn.SEQUENCE(1,R35)*K35)*(2-EXP(0.00693*_xlfn.SEQUENCE(1, R35)*K35)))))</f>
        <v>0</v>
      </c>
      <c r="X35" s="206">
        <f t="shared" si="8"/>
        <v>0.21911800798235917</v>
      </c>
      <c r="Y35" s="207">
        <f t="shared" si="22"/>
        <v>0.21911800798235917</v>
      </c>
      <c r="Z35" s="218">
        <f t="shared" si="23"/>
        <v>0.38596831437424212</v>
      </c>
      <c r="AA35" s="218">
        <f t="shared" si="9"/>
        <v>0.22924068796339678</v>
      </c>
      <c r="AB35" s="207">
        <f t="shared" si="10"/>
        <v>0.10763786496908186</v>
      </c>
      <c r="AC35" s="206" cm="1">
        <f t="array" ref="AC35">IF(Q35="", "", IF(Q35&lt;1, 0, SUM(EXP(-0.01*_xlfn.SEQUENCE(1,R35)*K35)*(2-EXP(0.00693*_xlfn.SEQUENCE(1, R35)*K35))*EXP(-0.034*_xlfn.SEQUENCE(1, R35)*K35))))</f>
        <v>0</v>
      </c>
      <c r="AD35" s="206">
        <f t="shared" si="11"/>
        <v>0.46666442993340196</v>
      </c>
      <c r="AE35" s="206">
        <f t="shared" si="12"/>
        <v>0.46666442993340196</v>
      </c>
      <c r="AF35" s="218" cm="1">
        <f t="array" ref="AF35">IF(Q35="", "", IF(Q35&lt;1, 0, SUM(EXP(-0.037*_xlfn.SEQUENCE(1,R35)*K35)*(2-EXP(0.00693*_xlfn.SEQUENCE(1, R35)*K35))*EXP(-0.034*_xlfn.SEQUENCE(1, R35)*K35))))</f>
        <v>0</v>
      </c>
      <c r="AG35" s="206">
        <f t="shared" si="13"/>
        <v>8.4572608189992904E-2</v>
      </c>
      <c r="AH35" s="207">
        <f t="shared" si="14"/>
        <v>8.4572608189992904E-2</v>
      </c>
      <c r="AI35" s="218">
        <f t="shared" si="15"/>
        <v>0.43171052342907973</v>
      </c>
      <c r="AJ35" s="226">
        <f t="shared" si="16"/>
        <v>29</v>
      </c>
      <c r="AK35" s="226">
        <f t="shared" si="17"/>
        <v>21</v>
      </c>
      <c r="AL35" s="206" cm="1">
        <f t="array" ref="AL35">IF(AK35=0, "", SUM(EXP(-0.03*_xlfn.SEQUENCE(1,AK35, AJ35))))</f>
        <v>6.6257798773195145</v>
      </c>
      <c r="AM35" s="210">
        <f t="shared" si="1"/>
        <v>25.286038393779087</v>
      </c>
      <c r="AN35" s="1">
        <f t="shared" si="18"/>
        <v>4.8767936863421886</v>
      </c>
      <c r="AO35" s="210">
        <f t="shared" si="2"/>
        <v>1.9347923344020315</v>
      </c>
      <c r="AP35" s="210">
        <f t="shared" si="24"/>
        <v>88.111165713237753</v>
      </c>
      <c r="AT35" s="210" t="str">
        <v>Y</v>
      </c>
      <c r="AU35" s="210" t="str">
        <v>Y</v>
      </c>
      <c r="AV35" s="210" t="str">
        <v>N</v>
      </c>
      <c r="AW35" s="210" t="str">
        <v>Y</v>
      </c>
      <c r="AX35" s="210" t="str">
        <v>N</v>
      </c>
      <c r="AY35" s="210" t="str">
        <v>N</v>
      </c>
      <c r="AZ35" s="210" t="str">
        <v>Y</v>
      </c>
      <c r="BA35" s="210" t="str">
        <v>N</v>
      </c>
      <c r="BB35" s="210" t="str">
        <v>N</v>
      </c>
      <c r="BC35" s="210" t="str">
        <v>N</v>
      </c>
      <c r="BD35" s="210" t="str">
        <v>N</v>
      </c>
      <c r="BE35" s="210" t="str">
        <v>N</v>
      </c>
      <c r="BF35" s="210" t="str">
        <v>N</v>
      </c>
      <c r="BG35" s="210" t="str">
        <v>Y</v>
      </c>
      <c r="BH35" s="210" t="str">
        <v>N</v>
      </c>
      <c r="BI35" s="210" t="str">
        <v>N</v>
      </c>
      <c r="BJ35" s="210" t="str">
        <v>N</v>
      </c>
      <c r="BK35" s="210" t="str">
        <v>N</v>
      </c>
      <c r="BL35" s="210" t="str">
        <v>N</v>
      </c>
      <c r="BM35" s="210" t="str">
        <v>N</v>
      </c>
      <c r="BN35" s="210" t="str">
        <v>N</v>
      </c>
      <c r="BO35" s="210" t="str">
        <v>N</v>
      </c>
      <c r="BP35" s="210" t="str">
        <v>N</v>
      </c>
      <c r="BQ35" s="210" t="str">
        <v>N</v>
      </c>
      <c r="BR35" s="210" t="str">
        <v>N</v>
      </c>
      <c r="BS35" s="210" t="str">
        <v>N</v>
      </c>
      <c r="BT35" s="210" t="str">
        <v>N</v>
      </c>
      <c r="BU35" s="210" t="str">
        <v>L</v>
      </c>
      <c r="BV35" s="210" t="str">
        <v>N</v>
      </c>
      <c r="BW35" s="210" t="str">
        <v>N</v>
      </c>
      <c r="BX35" s="210" t="str">
        <v>N</v>
      </c>
      <c r="BY35" s="210" t="str">
        <v>N</v>
      </c>
      <c r="BZ35" s="210" t="str">
        <v>N</v>
      </c>
      <c r="CA35" s="210" t="str">
        <v>N</v>
      </c>
      <c r="CB35" s="210" t="str">
        <v>N</v>
      </c>
      <c r="CC35" s="210" t="str">
        <v>N</v>
      </c>
      <c r="CD35" s="210" t="str">
        <v>N</v>
      </c>
      <c r="CE35" s="210" t="str">
        <v>N</v>
      </c>
      <c r="CF35" s="210" t="str">
        <v>N</v>
      </c>
      <c r="CG35" s="210" t="str">
        <v>N</v>
      </c>
      <c r="CH35" s="210" t="str">
        <v>N</v>
      </c>
      <c r="CI35" s="210" t="str">
        <v>N</v>
      </c>
      <c r="CJ35" s="210" t="str">
        <v>N</v>
      </c>
      <c r="CK35" s="210" t="str">
        <v>N</v>
      </c>
      <c r="CL35" s="210" t="str">
        <v>N</v>
      </c>
      <c r="CM35" s="210" t="str">
        <v>N</v>
      </c>
      <c r="CN35" s="210" t="str">
        <v>N</v>
      </c>
      <c r="CO35" s="1" t="str">
        <v>N</v>
      </c>
      <c r="CP35" s="1" t="str">
        <v>N</v>
      </c>
      <c r="CQ35" s="1" t="str">
        <v>N</v>
      </c>
      <c r="CR35" s="1" t="str">
        <v>N</v>
      </c>
    </row>
    <row r="36" spans="2:96">
      <c r="B36" s="101">
        <v>2036</v>
      </c>
      <c r="C36" s="191"/>
      <c r="D36" s="191"/>
      <c r="E36" s="483">
        <f t="shared" si="28"/>
        <v>0.18210666666666669</v>
      </c>
      <c r="F36" s="483">
        <f t="shared" si="29"/>
        <v>0.10310939846491157</v>
      </c>
      <c r="G36" s="69"/>
      <c r="H36" s="47"/>
      <c r="I36" s="70"/>
      <c r="J36" s="1">
        <v>0</v>
      </c>
      <c r="K36" s="220">
        <v>29</v>
      </c>
      <c r="L36" s="218">
        <f t="shared" si="25"/>
        <v>0.77741190636965185</v>
      </c>
      <c r="M36" s="206">
        <f t="shared" si="19"/>
        <v>0.74826356757856527</v>
      </c>
      <c r="N36" s="206">
        <f t="shared" si="20"/>
        <v>0.34198103386239759</v>
      </c>
      <c r="O36" s="206">
        <f t="shared" si="3"/>
        <v>0.58170900653820923</v>
      </c>
      <c r="P36" s="207">
        <f t="shared" si="4"/>
        <v>0.26586012747723098</v>
      </c>
      <c r="Q36" s="218">
        <f t="shared" si="0"/>
        <v>0.72413793103448265</v>
      </c>
      <c r="R36" s="206">
        <f t="shared" si="5"/>
        <v>0</v>
      </c>
      <c r="S36" s="206">
        <f t="shared" si="21"/>
        <v>0.72413793103448265</v>
      </c>
      <c r="T36" s="218" cm="1">
        <f t="array" ref="T36">IF(Q36="", "", IF(Q36&lt;1, 0, SUM(EXP(-0.01*_xlfn.SEQUENCE(1,R36)*K36)*(2-EXP(0.00693*_xlfn.SEQUENCE(1, R36)*K36)))))</f>
        <v>0</v>
      </c>
      <c r="U36" s="206">
        <f t="shared" si="6"/>
        <v>0.4212375564587032</v>
      </c>
      <c r="V36" s="206">
        <f t="shared" si="7"/>
        <v>0.4212375564587032</v>
      </c>
      <c r="W36" s="218" cm="1">
        <f t="array" ref="W36">IF(Q36="", "", IF(Q36&lt;1, 0, SUM(EXP(-0.037*_xlfn.SEQUENCE(1,R36)*K36)*(2-EXP(0.00693*_xlfn.SEQUENCE(1, R36)*K36)))))</f>
        <v>0</v>
      </c>
      <c r="X36" s="206">
        <f t="shared" si="8"/>
        <v>0.19251940265592585</v>
      </c>
      <c r="Y36" s="207">
        <f t="shared" si="22"/>
        <v>0.19251940265592585</v>
      </c>
      <c r="Z36" s="218">
        <f t="shared" si="23"/>
        <v>0.37306597436711336</v>
      </c>
      <c r="AA36" s="218">
        <f t="shared" si="9"/>
        <v>0.21701583732230253</v>
      </c>
      <c r="AB36" s="207">
        <f t="shared" si="10"/>
        <v>9.9183367502658146E-2</v>
      </c>
      <c r="AC36" s="206" cm="1">
        <f t="array" ref="AC36">IF(Q36="", "", IF(Q36&lt;1, 0, SUM(EXP(-0.01*_xlfn.SEQUENCE(1,R36)*K36)*(2-EXP(0.00693*_xlfn.SEQUENCE(1, R36)*K36))*EXP(-0.034*_xlfn.SEQUENCE(1, R36)*K36))))</f>
        <v>0</v>
      </c>
      <c r="AD36" s="206">
        <f t="shared" si="11"/>
        <v>0.4212375564587032</v>
      </c>
      <c r="AE36" s="206">
        <f t="shared" si="12"/>
        <v>0.4212375564587032</v>
      </c>
      <c r="AF36" s="218" cm="1">
        <f t="array" ref="AF36">IF(Q36="", "", IF(Q36&lt;1, 0, SUM(EXP(-0.037*_xlfn.SEQUENCE(1,R36)*K36)*(2-EXP(0.00693*_xlfn.SEQUENCE(1, R36)*K36))*EXP(-0.034*_xlfn.SEQUENCE(1, R36)*K36))))</f>
        <v>0</v>
      </c>
      <c r="AG36" s="206">
        <f t="shared" si="13"/>
        <v>7.1822438536407615E-2</v>
      </c>
      <c r="AH36" s="207">
        <f t="shared" si="14"/>
        <v>7.1822438536407615E-2</v>
      </c>
      <c r="AI36" s="218">
        <f t="shared" si="15"/>
        <v>0.418951549247639</v>
      </c>
      <c r="AJ36" s="226">
        <f t="shared" si="16"/>
        <v>30</v>
      </c>
      <c r="AK36" s="226">
        <f t="shared" si="17"/>
        <v>20</v>
      </c>
      <c r="AL36" s="206" cm="1">
        <f t="array" ref="AL36">IF(AK36=0, "", SUM(EXP(-0.03*_xlfn.SEQUENCE(1,AK36, AJ36))))</f>
        <v>6.2068283280718752</v>
      </c>
      <c r="AM36" s="210">
        <f t="shared" si="1"/>
        <v>25.286038393779087</v>
      </c>
      <c r="AN36" s="1">
        <f t="shared" si="18"/>
        <v>4.2001873115502342</v>
      </c>
      <c r="AO36" s="210">
        <f t="shared" si="2"/>
        <v>1.8776105792643432</v>
      </c>
      <c r="AP36" s="210">
        <f t="shared" si="24"/>
        <v>89.988776292502095</v>
      </c>
      <c r="AT36" s="210" t="str">
        <v>Y</v>
      </c>
      <c r="AU36" s="210" t="str">
        <v>N</v>
      </c>
      <c r="AV36" s="210" t="str">
        <v>N</v>
      </c>
      <c r="AW36" s="210" t="str">
        <v>N</v>
      </c>
      <c r="AX36" s="210" t="str">
        <v>N</v>
      </c>
      <c r="AY36" s="210" t="str">
        <v>N</v>
      </c>
      <c r="AZ36" s="210" t="str">
        <v>N</v>
      </c>
      <c r="BA36" s="210" t="str">
        <v>N</v>
      </c>
      <c r="BB36" s="210" t="str">
        <v>N</v>
      </c>
      <c r="BC36" s="210" t="str">
        <v>N</v>
      </c>
      <c r="BD36" s="210" t="str">
        <v>N</v>
      </c>
      <c r="BE36" s="210" t="str">
        <v>N</v>
      </c>
      <c r="BF36" s="210" t="str">
        <v>N</v>
      </c>
      <c r="BG36" s="210" t="str">
        <v>N</v>
      </c>
      <c r="BH36" s="210" t="str">
        <v>N</v>
      </c>
      <c r="BI36" s="210" t="str">
        <v>N</v>
      </c>
      <c r="BJ36" s="210" t="str">
        <v>N</v>
      </c>
      <c r="BK36" s="210" t="str">
        <v>N</v>
      </c>
      <c r="BL36" s="210" t="str">
        <v>N</v>
      </c>
      <c r="BM36" s="210" t="str">
        <v>N</v>
      </c>
      <c r="BN36" s="210" t="str">
        <v>N</v>
      </c>
      <c r="BO36" s="210" t="str">
        <v>N</v>
      </c>
      <c r="BP36" s="210" t="str">
        <v>N</v>
      </c>
      <c r="BQ36" s="210" t="str">
        <v>N</v>
      </c>
      <c r="BR36" s="210" t="str">
        <v>N</v>
      </c>
      <c r="BS36" s="210" t="str">
        <v>N</v>
      </c>
      <c r="BT36" s="210" t="str">
        <v>N</v>
      </c>
      <c r="BU36" s="210" t="str">
        <v>N</v>
      </c>
      <c r="BV36" s="210" t="str">
        <v>L</v>
      </c>
      <c r="BW36" s="210" t="str">
        <v>N</v>
      </c>
      <c r="BX36" s="210" t="str">
        <v>N</v>
      </c>
      <c r="BY36" s="210" t="str">
        <v>N</v>
      </c>
      <c r="BZ36" s="210" t="str">
        <v>N</v>
      </c>
      <c r="CA36" s="210" t="str">
        <v>N</v>
      </c>
      <c r="CB36" s="210" t="str">
        <v>N</v>
      </c>
      <c r="CC36" s="210" t="str">
        <v>N</v>
      </c>
      <c r="CD36" s="210" t="str">
        <v>N</v>
      </c>
      <c r="CE36" s="210" t="str">
        <v>N</v>
      </c>
      <c r="CF36" s="210" t="str">
        <v>N</v>
      </c>
      <c r="CG36" s="210" t="str">
        <v>N</v>
      </c>
      <c r="CH36" s="210" t="str">
        <v>N</v>
      </c>
      <c r="CI36" s="210" t="str">
        <v>N</v>
      </c>
      <c r="CJ36" s="210" t="str">
        <v>N</v>
      </c>
      <c r="CK36" s="210" t="str">
        <v>N</v>
      </c>
      <c r="CL36" s="210" t="str">
        <v>N</v>
      </c>
      <c r="CM36" s="210" t="str">
        <v>N</v>
      </c>
      <c r="CN36" s="210" t="str">
        <v>N</v>
      </c>
      <c r="CO36" s="1" t="str">
        <v>N</v>
      </c>
      <c r="CP36" s="1" t="str">
        <v>N</v>
      </c>
      <c r="CQ36" s="1" t="str">
        <v>N</v>
      </c>
      <c r="CR36" s="1" t="str">
        <v>N</v>
      </c>
    </row>
    <row r="37" spans="2:96">
      <c r="B37" s="101">
        <v>2037</v>
      </c>
      <c r="C37" s="191"/>
      <c r="D37" s="191"/>
      <c r="E37" s="483">
        <f t="shared" si="28"/>
        <v>0.17081333333333334</v>
      </c>
      <c r="F37" s="483">
        <f t="shared" si="29"/>
        <v>0.10208344280816242</v>
      </c>
      <c r="G37" s="69"/>
      <c r="H37" s="47"/>
      <c r="I37" s="70"/>
      <c r="J37" s="1">
        <v>0</v>
      </c>
      <c r="K37" s="220">
        <v>30</v>
      </c>
      <c r="L37" s="218">
        <f t="shared" si="25"/>
        <v>0.76890994561222659</v>
      </c>
      <c r="M37" s="206">
        <f t="shared" si="19"/>
        <v>0.74081822068171788</v>
      </c>
      <c r="N37" s="206">
        <f t="shared" si="20"/>
        <v>0.32955896107518912</v>
      </c>
      <c r="O37" s="206">
        <f t="shared" si="3"/>
        <v>0.56962249777292617</v>
      </c>
      <c r="P37" s="207">
        <f t="shared" si="4"/>
        <v>0.25340116283634556</v>
      </c>
      <c r="Q37" s="218">
        <f t="shared" si="0"/>
        <v>0.66666666666666674</v>
      </c>
      <c r="R37" s="206">
        <f t="shared" si="5"/>
        <v>0</v>
      </c>
      <c r="S37" s="206">
        <f t="shared" si="21"/>
        <v>0.66666666666666674</v>
      </c>
      <c r="T37" s="218" cm="1">
        <f t="array" ref="T37">IF(Q37="", "", IF(Q37&lt;1, 0, SUM(EXP(-0.01*_xlfn.SEQUENCE(1,R37)*K37)*(2-EXP(0.00693*_xlfn.SEQUENCE(1, R37)*K37)))))</f>
        <v>0</v>
      </c>
      <c r="U37" s="206">
        <f t="shared" si="6"/>
        <v>0.3797483318486175</v>
      </c>
      <c r="V37" s="206">
        <f t="shared" si="7"/>
        <v>0.3797483318486175</v>
      </c>
      <c r="W37" s="218" cm="1">
        <f t="array" ref="W37">IF(Q37="", "", IF(Q37&lt;1, 0, SUM(EXP(-0.037*_xlfn.SEQUENCE(1,R37)*K37)*(2-EXP(0.00693*_xlfn.SEQUENCE(1, R37)*K37)))))</f>
        <v>0</v>
      </c>
      <c r="X37" s="206">
        <f t="shared" si="8"/>
        <v>0.16893410855756374</v>
      </c>
      <c r="Y37" s="207">
        <f t="shared" si="22"/>
        <v>0.16893410855756374</v>
      </c>
      <c r="Z37" s="218">
        <f t="shared" si="23"/>
        <v>0.3605949401730783</v>
      </c>
      <c r="AA37" s="218">
        <f t="shared" si="9"/>
        <v>0.20540299050566774</v>
      </c>
      <c r="AB37" s="207">
        <f t="shared" si="10"/>
        <v>9.1375177152760501E-2</v>
      </c>
      <c r="AC37" s="206" cm="1">
        <f t="array" ref="AC37">IF(Q37="", "", IF(Q37&lt;1, 0, SUM(EXP(-0.01*_xlfn.SEQUENCE(1,R37)*K37)*(2-EXP(0.00693*_xlfn.SEQUENCE(1, R37)*K37))*EXP(-0.034*_xlfn.SEQUENCE(1, R37)*K37))))</f>
        <v>0</v>
      </c>
      <c r="AD37" s="206">
        <f t="shared" si="11"/>
        <v>0.3797483318486175</v>
      </c>
      <c r="AE37" s="206">
        <f t="shared" si="12"/>
        <v>0.3797483318486175</v>
      </c>
      <c r="AF37" s="218" cm="1">
        <f t="array" ref="AF37">IF(Q37="", "", IF(Q37&lt;1, 0, SUM(EXP(-0.037*_xlfn.SEQUENCE(1,R37)*K37)*(2-EXP(0.00693*_xlfn.SEQUENCE(1, R37)*K37))*EXP(-0.034*_xlfn.SEQUENCE(1, R37)*K37))))</f>
        <v>0</v>
      </c>
      <c r="AG37" s="206">
        <f t="shared" si="13"/>
        <v>6.0916784768507017E-2</v>
      </c>
      <c r="AH37" s="207">
        <f t="shared" si="14"/>
        <v>6.0916784768507017E-2</v>
      </c>
      <c r="AI37" s="218">
        <f t="shared" si="15"/>
        <v>0.40656965974059917</v>
      </c>
      <c r="AJ37" s="226">
        <f t="shared" si="16"/>
        <v>31</v>
      </c>
      <c r="AK37" s="226">
        <f t="shared" si="17"/>
        <v>19</v>
      </c>
      <c r="AL37" s="206" cm="1">
        <f t="array" ref="AL37">IF(AK37=0, "", SUM(EXP(-0.03*_xlfn.SEQUENCE(1,AK37, AJ37))))</f>
        <v>5.800258668331276</v>
      </c>
      <c r="AM37" s="210">
        <f t="shared" si="1"/>
        <v>25.286038393779087</v>
      </c>
      <c r="AN37" s="1">
        <f t="shared" si="18"/>
        <v>3.60380330530645</v>
      </c>
      <c r="AO37" s="210">
        <f t="shared" si="2"/>
        <v>1.8221188003905089</v>
      </c>
      <c r="AP37" s="210">
        <f t="shared" si="24"/>
        <v>91.810895092892608</v>
      </c>
      <c r="AT37" s="210" t="str">
        <v>Y</v>
      </c>
      <c r="AU37" s="210" t="str">
        <v>Y</v>
      </c>
      <c r="AV37" s="210" t="str">
        <v>Y</v>
      </c>
      <c r="AW37" s="210" t="str">
        <v>N</v>
      </c>
      <c r="AX37" s="210" t="str">
        <v>Y</v>
      </c>
      <c r="AY37" s="210" t="str">
        <v>Y</v>
      </c>
      <c r="AZ37" s="210" t="str">
        <v>N</v>
      </c>
      <c r="BA37" s="210" t="str">
        <v>N</v>
      </c>
      <c r="BB37" s="210" t="str">
        <v>N</v>
      </c>
      <c r="BC37" s="210" t="str">
        <v>Y</v>
      </c>
      <c r="BD37" s="210" t="str">
        <v>N</v>
      </c>
      <c r="BE37" s="210" t="str">
        <v>N</v>
      </c>
      <c r="BF37" s="210" t="str">
        <v>N</v>
      </c>
      <c r="BG37" s="210" t="str">
        <v>N</v>
      </c>
      <c r="BH37" s="210" t="str">
        <v>Y</v>
      </c>
      <c r="BI37" s="210" t="str">
        <v>N</v>
      </c>
      <c r="BJ37" s="210" t="str">
        <v>N</v>
      </c>
      <c r="BK37" s="210" t="str">
        <v>N</v>
      </c>
      <c r="BL37" s="210" t="str">
        <v>N</v>
      </c>
      <c r="BM37" s="210" t="str">
        <v>N</v>
      </c>
      <c r="BN37" s="210" t="str">
        <v>N</v>
      </c>
      <c r="BO37" s="210" t="str">
        <v>N</v>
      </c>
      <c r="BP37" s="210" t="str">
        <v>N</v>
      </c>
      <c r="BQ37" s="210" t="str">
        <v>N</v>
      </c>
      <c r="BR37" s="210" t="str">
        <v>N</v>
      </c>
      <c r="BS37" s="210" t="str">
        <v>N</v>
      </c>
      <c r="BT37" s="210" t="str">
        <v>N</v>
      </c>
      <c r="BU37" s="210" t="str">
        <v>N</v>
      </c>
      <c r="BV37" s="210" t="str">
        <v>N</v>
      </c>
      <c r="BW37" s="210" t="str">
        <v>L</v>
      </c>
      <c r="BX37" s="210" t="str">
        <v>N</v>
      </c>
      <c r="BY37" s="210" t="str">
        <v>N</v>
      </c>
      <c r="BZ37" s="210" t="str">
        <v>N</v>
      </c>
      <c r="CA37" s="210" t="str">
        <v>N</v>
      </c>
      <c r="CB37" s="210" t="str">
        <v>N</v>
      </c>
      <c r="CC37" s="210" t="str">
        <v>N</v>
      </c>
      <c r="CD37" s="210" t="str">
        <v>N</v>
      </c>
      <c r="CE37" s="210" t="str">
        <v>N</v>
      </c>
      <c r="CF37" s="210" t="str">
        <v>N</v>
      </c>
      <c r="CG37" s="210" t="str">
        <v>N</v>
      </c>
      <c r="CH37" s="210" t="str">
        <v>N</v>
      </c>
      <c r="CI37" s="210" t="str">
        <v>N</v>
      </c>
      <c r="CJ37" s="210" t="str">
        <v>N</v>
      </c>
      <c r="CK37" s="210" t="str">
        <v>N</v>
      </c>
      <c r="CL37" s="210" t="str">
        <v>N</v>
      </c>
      <c r="CM37" s="210" t="str">
        <v>N</v>
      </c>
      <c r="CN37" s="210" t="str">
        <v>N</v>
      </c>
      <c r="CO37" s="1" t="str">
        <v>N</v>
      </c>
      <c r="CP37" s="1" t="str">
        <v>N</v>
      </c>
      <c r="CQ37" s="1" t="str">
        <v>N</v>
      </c>
      <c r="CR37" s="1" t="str">
        <v>N</v>
      </c>
    </row>
    <row r="38" spans="2:96">
      <c r="B38" s="101">
        <v>2038</v>
      </c>
      <c r="C38" s="191"/>
      <c r="D38" s="191"/>
      <c r="E38" s="483">
        <f t="shared" si="28"/>
        <v>0.15952000000000002</v>
      </c>
      <c r="F38" s="483">
        <f t="shared" si="29"/>
        <v>0.10106769558076391</v>
      </c>
      <c r="G38" s="69"/>
      <c r="H38" s="47"/>
      <c r="I38" s="70"/>
      <c r="J38" s="1">
        <v>0</v>
      </c>
      <c r="K38" s="220">
        <v>31</v>
      </c>
      <c r="L38" s="218">
        <f t="shared" si="25"/>
        <v>0.76034886164143312</v>
      </c>
      <c r="M38" s="206">
        <f t="shared" si="19"/>
        <v>0.73344695622428924</v>
      </c>
      <c r="N38" s="206">
        <f t="shared" si="20"/>
        <v>0.31758810597858733</v>
      </c>
      <c r="O38" s="206">
        <f t="shared" si="3"/>
        <v>0.55767555823951231</v>
      </c>
      <c r="P38" s="207">
        <f t="shared" si="4"/>
        <v>0.24147775485167769</v>
      </c>
      <c r="Q38" s="218">
        <f t="shared" si="0"/>
        <v>0.61290322580645151</v>
      </c>
      <c r="R38" s="206">
        <f t="shared" si="5"/>
        <v>0</v>
      </c>
      <c r="S38" s="206">
        <f t="shared" si="21"/>
        <v>0.61290322580645151</v>
      </c>
      <c r="T38" s="218" cm="1">
        <f t="array" ref="T38">IF(Q38="", "", IF(Q38&lt;1, 0, SUM(EXP(-0.01*_xlfn.SEQUENCE(1,R38)*K38)*(2-EXP(0.00693*_xlfn.SEQUENCE(1, R38)*K38)))))</f>
        <v>0</v>
      </c>
      <c r="U38" s="206">
        <f t="shared" si="6"/>
        <v>0.34180114859841076</v>
      </c>
      <c r="V38" s="206">
        <f t="shared" si="7"/>
        <v>0.34180114859841076</v>
      </c>
      <c r="W38" s="218" cm="1">
        <f t="array" ref="W38">IF(Q38="", "", IF(Q38&lt;1, 0, SUM(EXP(-0.037*_xlfn.SEQUENCE(1,R38)*K38)*(2-EXP(0.00693*_xlfn.SEQUENCE(1, R38)*K38)))))</f>
        <v>0</v>
      </c>
      <c r="X38" s="206">
        <f t="shared" si="8"/>
        <v>0.14800249490909276</v>
      </c>
      <c r="Y38" s="207">
        <f t="shared" si="22"/>
        <v>0.14800249490909276</v>
      </c>
      <c r="Z38" s="218">
        <f t="shared" si="23"/>
        <v>0.34854079388776399</v>
      </c>
      <c r="AA38" s="218">
        <f t="shared" si="9"/>
        <v>0.19437268180060158</v>
      </c>
      <c r="AB38" s="207">
        <f t="shared" si="10"/>
        <v>8.4164848382238588E-2</v>
      </c>
      <c r="AC38" s="206" cm="1">
        <f t="array" ref="AC38">IF(Q38="", "", IF(Q38&lt;1, 0, SUM(EXP(-0.01*_xlfn.SEQUENCE(1,R38)*K38)*(2-EXP(0.00693*_xlfn.SEQUENCE(1, R38)*K38))*EXP(-0.034*_xlfn.SEQUENCE(1, R38)*K38))))</f>
        <v>0</v>
      </c>
      <c r="AD38" s="206">
        <f t="shared" si="11"/>
        <v>0.34180114859841076</v>
      </c>
      <c r="AE38" s="206">
        <f t="shared" si="12"/>
        <v>0.34180114859841076</v>
      </c>
      <c r="AF38" s="218" cm="1">
        <f t="array" ref="AF38">IF(Q38="", "", IF(Q38&lt;1, 0, SUM(EXP(-0.037*_xlfn.SEQUENCE(1,R38)*K38)*(2-EXP(0.00693*_xlfn.SEQUENCE(1, R38)*K38))*EXP(-0.034*_xlfn.SEQUENCE(1, R38)*K38))))</f>
        <v>0</v>
      </c>
      <c r="AG38" s="206">
        <f t="shared" si="13"/>
        <v>5.1584907072984937E-2</v>
      </c>
      <c r="AH38" s="207">
        <f t="shared" si="14"/>
        <v>5.1584907072984937E-2</v>
      </c>
      <c r="AI38" s="218">
        <f t="shared" si="15"/>
        <v>0.39455371037160114</v>
      </c>
      <c r="AJ38" s="226">
        <f t="shared" si="16"/>
        <v>32</v>
      </c>
      <c r="AK38" s="226">
        <f t="shared" si="17"/>
        <v>18</v>
      </c>
      <c r="AL38" s="206" cm="1">
        <f t="array" ref="AL38">IF(AK38=0, "", SUM(EXP(-0.03*_xlfn.SEQUENCE(1,AK38, AJ38))))</f>
        <v>5.4057049579596743</v>
      </c>
      <c r="AM38" s="210">
        <f t="shared" si="1"/>
        <v>25.286038393779087</v>
      </c>
      <c r="AN38" s="1">
        <f t="shared" si="18"/>
        <v>3.0784977215389246</v>
      </c>
      <c r="AO38" s="210">
        <f t="shared" si="2"/>
        <v>1.7682670514337351</v>
      </c>
      <c r="AP38" s="210">
        <f t="shared" si="24"/>
        <v>93.579162144326347</v>
      </c>
      <c r="AT38" s="210" t="str">
        <v>Y</v>
      </c>
      <c r="AU38" s="210" t="str">
        <v>N</v>
      </c>
      <c r="AV38" s="210" t="str">
        <v>N</v>
      </c>
      <c r="AW38" s="210" t="str">
        <v>N</v>
      </c>
      <c r="AX38" s="210" t="str">
        <v>N</v>
      </c>
      <c r="AY38" s="210" t="str">
        <v>N</v>
      </c>
      <c r="AZ38" s="210" t="str">
        <v>N</v>
      </c>
      <c r="BA38" s="210" t="str">
        <v>N</v>
      </c>
      <c r="BB38" s="210" t="str">
        <v>N</v>
      </c>
      <c r="BC38" s="210" t="str">
        <v>N</v>
      </c>
      <c r="BD38" s="210" t="str">
        <v>N</v>
      </c>
      <c r="BE38" s="210" t="str">
        <v>N</v>
      </c>
      <c r="BF38" s="210" t="str">
        <v>N</v>
      </c>
      <c r="BG38" s="210" t="str">
        <v>N</v>
      </c>
      <c r="BH38" s="210" t="str">
        <v>N</v>
      </c>
      <c r="BI38" s="210" t="str">
        <v>N</v>
      </c>
      <c r="BJ38" s="210" t="str">
        <v>N</v>
      </c>
      <c r="BK38" s="210" t="str">
        <v>N</v>
      </c>
      <c r="BL38" s="210" t="str">
        <v>N</v>
      </c>
      <c r="BM38" s="210" t="str">
        <v>N</v>
      </c>
      <c r="BN38" s="210" t="str">
        <v>N</v>
      </c>
      <c r="BO38" s="210" t="str">
        <v>N</v>
      </c>
      <c r="BP38" s="210" t="str">
        <v>N</v>
      </c>
      <c r="BQ38" s="210" t="str">
        <v>N</v>
      </c>
      <c r="BR38" s="210" t="str">
        <v>N</v>
      </c>
      <c r="BS38" s="210" t="str">
        <v>N</v>
      </c>
      <c r="BT38" s="210" t="str">
        <v>N</v>
      </c>
      <c r="BU38" s="210" t="str">
        <v>N</v>
      </c>
      <c r="BV38" s="210" t="str">
        <v>N</v>
      </c>
      <c r="BW38" s="210" t="str">
        <v>N</v>
      </c>
      <c r="BX38" s="210" t="str">
        <v>L</v>
      </c>
      <c r="BY38" s="210" t="str">
        <v>N</v>
      </c>
      <c r="BZ38" s="210" t="str">
        <v>N</v>
      </c>
      <c r="CA38" s="210" t="str">
        <v>N</v>
      </c>
      <c r="CB38" s="210" t="str">
        <v>N</v>
      </c>
      <c r="CC38" s="210" t="str">
        <v>N</v>
      </c>
      <c r="CD38" s="210" t="str">
        <v>N</v>
      </c>
      <c r="CE38" s="210" t="str">
        <v>N</v>
      </c>
      <c r="CF38" s="210" t="str">
        <v>N</v>
      </c>
      <c r="CG38" s="210" t="str">
        <v>N</v>
      </c>
      <c r="CH38" s="210" t="str">
        <v>N</v>
      </c>
      <c r="CI38" s="210" t="str">
        <v>N</v>
      </c>
      <c r="CJ38" s="210" t="str">
        <v>N</v>
      </c>
      <c r="CK38" s="210" t="str">
        <v>N</v>
      </c>
      <c r="CL38" s="210" t="str">
        <v>N</v>
      </c>
      <c r="CM38" s="210" t="str">
        <v>N</v>
      </c>
      <c r="CN38" s="210" t="str">
        <v>N</v>
      </c>
      <c r="CO38" s="1" t="str">
        <v>N</v>
      </c>
      <c r="CP38" s="1" t="str">
        <v>N</v>
      </c>
      <c r="CQ38" s="1" t="str">
        <v>N</v>
      </c>
      <c r="CR38" s="1" t="str">
        <v>N</v>
      </c>
    </row>
    <row r="39" spans="2:96">
      <c r="B39" s="101">
        <v>2039</v>
      </c>
      <c r="C39" s="191"/>
      <c r="D39" s="191"/>
      <c r="E39" s="483">
        <f t="shared" si="28"/>
        <v>0.14822666666666667</v>
      </c>
      <c r="F39" s="483">
        <f t="shared" si="29"/>
        <v>0.10006205520714684</v>
      </c>
      <c r="G39" s="69"/>
      <c r="H39" s="47"/>
      <c r="I39" s="70"/>
      <c r="J39" s="1">
        <v>0</v>
      </c>
      <c r="K39" s="220">
        <v>32</v>
      </c>
      <c r="L39" s="218">
        <f t="shared" si="25"/>
        <v>0.75172824331042487</v>
      </c>
      <c r="M39" s="206">
        <f t="shared" si="19"/>
        <v>0.72614903707369094</v>
      </c>
      <c r="N39" s="206">
        <f t="shared" si="20"/>
        <v>0.30605207860227068</v>
      </c>
      <c r="O39" s="206">
        <f t="shared" si="3"/>
        <v>0.54586674002096225</v>
      </c>
      <c r="P39" s="207">
        <f t="shared" si="4"/>
        <v>0.23006799140918902</v>
      </c>
      <c r="Q39" s="218">
        <f t="shared" ref="Q39:Q56" si="30">IF(K39=0, "", Beregningsperiode/K39-1)</f>
        <v>0.5625</v>
      </c>
      <c r="R39" s="206">
        <f t="shared" si="5"/>
        <v>0</v>
      </c>
      <c r="S39" s="206">
        <f t="shared" si="21"/>
        <v>0.5625</v>
      </c>
      <c r="T39" s="218" cm="1">
        <f t="array" ref="T39">IF(Q39="", "", IF(Q39&lt;1, 0, SUM(EXP(-0.01*_xlfn.SEQUENCE(1,R39)*K39)*(2-EXP(0.00693*_xlfn.SEQUENCE(1, R39)*K39)))))</f>
        <v>0</v>
      </c>
      <c r="U39" s="206">
        <f t="shared" si="6"/>
        <v>0.30705004126179131</v>
      </c>
      <c r="V39" s="206">
        <f t="shared" si="7"/>
        <v>0.30705004126179131</v>
      </c>
      <c r="W39" s="218" cm="1">
        <f t="array" ref="W39">IF(Q39="", "", IF(Q39&lt;1, 0, SUM(EXP(-0.037*_xlfn.SEQUENCE(1,R39)*K39)*(2-EXP(0.00693*_xlfn.SEQUENCE(1, R39)*K39)))))</f>
        <v>0</v>
      </c>
      <c r="X39" s="206">
        <f t="shared" si="8"/>
        <v>0.12941324516766883</v>
      </c>
      <c r="Y39" s="207">
        <f t="shared" si="22"/>
        <v>0.12941324516766883</v>
      </c>
      <c r="Z39" s="218">
        <f t="shared" si="23"/>
        <v>0.33688959957564707</v>
      </c>
      <c r="AA39" s="218">
        <f t="shared" si="9"/>
        <v>0.1838968274673258</v>
      </c>
      <c r="AB39" s="207">
        <f t="shared" si="10"/>
        <v>7.7507513501015091E-2</v>
      </c>
      <c r="AC39" s="206" cm="1">
        <f t="array" ref="AC39">IF(Q39="", "", IF(Q39&lt;1, 0, SUM(EXP(-0.01*_xlfn.SEQUENCE(1,R39)*K39)*(2-EXP(0.00693*_xlfn.SEQUENCE(1, R39)*K39))*EXP(-0.034*_xlfn.SEQUENCE(1, R39)*K39))))</f>
        <v>0</v>
      </c>
      <c r="AD39" s="206">
        <f t="shared" si="11"/>
        <v>0.30705004126179131</v>
      </c>
      <c r="AE39" s="206">
        <f t="shared" si="12"/>
        <v>0.30705004126179131</v>
      </c>
      <c r="AF39" s="218" cm="1">
        <f t="array" ref="AF39">IF(Q39="", "", IF(Q39&lt;1, 0, SUM(EXP(-0.037*_xlfn.SEQUENCE(1,R39)*K39)*(2-EXP(0.00693*_xlfn.SEQUENCE(1, R39)*K39))*EXP(-0.034*_xlfn.SEQUENCE(1, R39)*K39))))</f>
        <v>0</v>
      </c>
      <c r="AG39" s="206">
        <f t="shared" si="13"/>
        <v>4.3597976344320999E-2</v>
      </c>
      <c r="AH39" s="207">
        <f t="shared" si="14"/>
        <v>4.3597976344320999E-2</v>
      </c>
      <c r="AI39" s="218">
        <f t="shared" si="15"/>
        <v>0.38289288597511206</v>
      </c>
      <c r="AJ39" s="226">
        <f t="shared" si="16"/>
        <v>33</v>
      </c>
      <c r="AK39" s="226">
        <f t="shared" si="17"/>
        <v>17</v>
      </c>
      <c r="AL39" s="206" cm="1">
        <f t="array" ref="AL39">IF(AK39=0, "", SUM(EXP(-0.03*_xlfn.SEQUENCE(1,AK39, AJ39))))</f>
        <v>5.0228120719845624</v>
      </c>
      <c r="AM39" s="210">
        <f t="shared" ref="AM39:AM54" si="31">SUMIF(_xlfn.XLOOKUP(AJ39, År_etter_ferdigstillelse_H, År_etter_ferdigstillelse_YN), "Y", sum_e__0_03_t_tau)</f>
        <v>25.286038393779087</v>
      </c>
      <c r="AN39" s="1">
        <f t="shared" ref="AN39:AN54" si="32">SUMIF(_xlfn.XLOOKUP(AJ39, År_etter_ferdigstillelse_H, År_etter_ferdigstillelse_YN), "L", sum_e__0_03_t_tau)*IF(ISBLANK(S39), 0, S39)</f>
        <v>2.6163199017914156</v>
      </c>
      <c r="AO39" s="210">
        <f t="shared" ref="AO39:AO58" si="33">EXP(-0.03*(K39-Beregningsperiode))</f>
        <v>1.7160068621848585</v>
      </c>
      <c r="AP39" s="210">
        <f t="shared" si="24"/>
        <v>95.295169006511202</v>
      </c>
      <c r="AT39" s="210" t="str">
        <v>Y</v>
      </c>
      <c r="AU39" s="210" t="str">
        <v>Y</v>
      </c>
      <c r="AV39" s="210" t="str">
        <v>N</v>
      </c>
      <c r="AW39" s="210" t="str">
        <v>Y</v>
      </c>
      <c r="AX39" s="210" t="str">
        <v>N</v>
      </c>
      <c r="AY39" s="210" t="str">
        <v>N</v>
      </c>
      <c r="AZ39" s="210" t="str">
        <v>N</v>
      </c>
      <c r="BA39" s="210" t="str">
        <v>Y</v>
      </c>
      <c r="BB39" s="210" t="str">
        <v>N</v>
      </c>
      <c r="BC39" s="210" t="str">
        <v>N</v>
      </c>
      <c r="BD39" s="210" t="str">
        <v>N</v>
      </c>
      <c r="BE39" s="210" t="str">
        <v>N</v>
      </c>
      <c r="BF39" s="210" t="str">
        <v>N</v>
      </c>
      <c r="BG39" s="210" t="str">
        <v>N</v>
      </c>
      <c r="BH39" s="210" t="str">
        <v>N</v>
      </c>
      <c r="BI39" s="210" t="str">
        <v>Y</v>
      </c>
      <c r="BJ39" s="210" t="str">
        <v>N</v>
      </c>
      <c r="BK39" s="210" t="str">
        <v>N</v>
      </c>
      <c r="BL39" s="210" t="str">
        <v>N</v>
      </c>
      <c r="BM39" s="210" t="str">
        <v>N</v>
      </c>
      <c r="BN39" s="210" t="str">
        <v>N</v>
      </c>
      <c r="BO39" s="210" t="str">
        <v>N</v>
      </c>
      <c r="BP39" s="210" t="str">
        <v>N</v>
      </c>
      <c r="BQ39" s="210" t="str">
        <v>N</v>
      </c>
      <c r="BR39" s="210" t="str">
        <v>N</v>
      </c>
      <c r="BS39" s="210" t="str">
        <v>N</v>
      </c>
      <c r="BT39" s="210" t="str">
        <v>N</v>
      </c>
      <c r="BU39" s="210" t="str">
        <v>N</v>
      </c>
      <c r="BV39" s="210" t="str">
        <v>N</v>
      </c>
      <c r="BW39" s="210" t="str">
        <v>N</v>
      </c>
      <c r="BX39" s="210" t="str">
        <v>N</v>
      </c>
      <c r="BY39" s="210" t="str">
        <v>L</v>
      </c>
      <c r="BZ39" s="210" t="str">
        <v>N</v>
      </c>
      <c r="CA39" s="210" t="str">
        <v>N</v>
      </c>
      <c r="CB39" s="210" t="str">
        <v>N</v>
      </c>
      <c r="CC39" s="210" t="str">
        <v>N</v>
      </c>
      <c r="CD39" s="210" t="str">
        <v>N</v>
      </c>
      <c r="CE39" s="210" t="str">
        <v>N</v>
      </c>
      <c r="CF39" s="210" t="str">
        <v>N</v>
      </c>
      <c r="CG39" s="210" t="str">
        <v>N</v>
      </c>
      <c r="CH39" s="210" t="str">
        <v>N</v>
      </c>
      <c r="CI39" s="210" t="str">
        <v>N</v>
      </c>
      <c r="CJ39" s="210" t="str">
        <v>N</v>
      </c>
      <c r="CK39" s="210" t="str">
        <v>N</v>
      </c>
      <c r="CL39" s="210" t="str">
        <v>N</v>
      </c>
      <c r="CM39" s="210" t="str">
        <v>N</v>
      </c>
      <c r="CN39" s="210" t="str">
        <v>N</v>
      </c>
      <c r="CO39" s="1" t="str">
        <v>N</v>
      </c>
      <c r="CP39" s="1" t="str">
        <v>N</v>
      </c>
      <c r="CQ39" s="1" t="str">
        <v>N</v>
      </c>
      <c r="CR39" s="1" t="str">
        <v>N</v>
      </c>
    </row>
    <row r="40" spans="2:96">
      <c r="B40" s="101">
        <v>2040</v>
      </c>
      <c r="C40" s="191"/>
      <c r="D40" s="191"/>
      <c r="E40" s="483">
        <f t="shared" si="28"/>
        <v>0.13693333333333335</v>
      </c>
      <c r="F40" s="483">
        <f t="shared" si="29"/>
        <v>9.9066421122435799E-2</v>
      </c>
      <c r="G40" s="69"/>
      <c r="H40" s="47"/>
      <c r="I40" s="70"/>
      <c r="J40" s="1">
        <v>0</v>
      </c>
      <c r="K40" s="220">
        <v>33</v>
      </c>
      <c r="L40" s="218">
        <f t="shared" si="25"/>
        <v>0.74304767661321147</v>
      </c>
      <c r="M40" s="206">
        <f t="shared" si="19"/>
        <v>0.71892373343192617</v>
      </c>
      <c r="N40" s="206">
        <f t="shared" si="20"/>
        <v>0.29493508432298099</v>
      </c>
      <c r="O40" s="206">
        <f t="shared" si="3"/>
        <v>0.53419460978868849</v>
      </c>
      <c r="P40" s="207">
        <f t="shared" si="4"/>
        <v>0.21915082915791265</v>
      </c>
      <c r="Q40" s="218">
        <f t="shared" si="30"/>
        <v>0.51515151515151514</v>
      </c>
      <c r="R40" s="206">
        <f t="shared" si="5"/>
        <v>0</v>
      </c>
      <c r="S40" s="206">
        <f t="shared" si="21"/>
        <v>0.51515151515151514</v>
      </c>
      <c r="T40" s="218" cm="1">
        <f t="array" ref="T40">IF(Q40="", "", IF(Q40&lt;1, 0, SUM(EXP(-0.01*_xlfn.SEQUENCE(1,R40)*K40)*(2-EXP(0.00693*_xlfn.SEQUENCE(1, R40)*K40)))))</f>
        <v>0</v>
      </c>
      <c r="U40" s="206">
        <f t="shared" si="6"/>
        <v>0.27519116261841531</v>
      </c>
      <c r="V40" s="206">
        <f t="shared" si="7"/>
        <v>0.27519116261841531</v>
      </c>
      <c r="W40" s="218" cm="1">
        <f t="array" ref="W40">IF(Q40="", "", IF(Q40&lt;1, 0, SUM(EXP(-0.037*_xlfn.SEQUENCE(1,R40)*K40)*(2-EXP(0.00693*_xlfn.SEQUENCE(1, R40)*K40)))))</f>
        <v>0</v>
      </c>
      <c r="X40" s="206">
        <f t="shared" si="8"/>
        <v>0.11289588168740955</v>
      </c>
      <c r="Y40" s="207">
        <f t="shared" si="22"/>
        <v>0.11289588168740955</v>
      </c>
      <c r="Z40" s="218">
        <f t="shared" si="23"/>
        <v>0.32562788715856034</v>
      </c>
      <c r="AA40" s="218">
        <f t="shared" si="9"/>
        <v>0.17394866211698223</v>
      </c>
      <c r="AB40" s="207">
        <f t="shared" si="10"/>
        <v>7.136162146773771E-2</v>
      </c>
      <c r="AC40" s="206" cm="1">
        <f t="array" ref="AC40">IF(Q40="", "", IF(Q40&lt;1, 0, SUM(EXP(-0.01*_xlfn.SEQUENCE(1,R40)*K40)*(2-EXP(0.00693*_xlfn.SEQUENCE(1, R40)*K40))*EXP(-0.034*_xlfn.SEQUENCE(1, R40)*K40))))</f>
        <v>0</v>
      </c>
      <c r="AD40" s="206">
        <f t="shared" si="11"/>
        <v>0.27519116261841531</v>
      </c>
      <c r="AE40" s="206">
        <f t="shared" si="12"/>
        <v>0.27519116261841531</v>
      </c>
      <c r="AF40" s="218" cm="1">
        <f t="array" ref="AF40">IF(Q40="", "", IF(Q40&lt;1, 0, SUM(EXP(-0.037*_xlfn.SEQUENCE(1,R40)*K40)*(2-EXP(0.00693*_xlfn.SEQUENCE(1, R40)*K40))*EXP(-0.034*_xlfn.SEQUENCE(1, R40)*K40))))</f>
        <v>0</v>
      </c>
      <c r="AG40" s="206">
        <f t="shared" si="13"/>
        <v>3.6762047422773975E-2</v>
      </c>
      <c r="AH40" s="207">
        <f t="shared" si="14"/>
        <v>3.6762047422773975E-2</v>
      </c>
      <c r="AI40" s="218">
        <f t="shared" si="15"/>
        <v>0.37157669102204571</v>
      </c>
      <c r="AJ40" s="226">
        <f t="shared" si="16"/>
        <v>34</v>
      </c>
      <c r="AK40" s="226">
        <f t="shared" si="17"/>
        <v>16</v>
      </c>
      <c r="AL40" s="206" cm="1">
        <f t="array" ref="AL40">IF(AK40=0, "", SUM(EXP(-0.03*_xlfn.SEQUENCE(1,AK40, AJ40))))</f>
        <v>4.6512353809625164</v>
      </c>
      <c r="AM40" s="210">
        <f t="shared" si="31"/>
        <v>25.286038393779087</v>
      </c>
      <c r="AN40" s="1">
        <f t="shared" si="32"/>
        <v>2.2103299240430441</v>
      </c>
      <c r="AO40" s="210">
        <f t="shared" si="33"/>
        <v>1.6652911949458864</v>
      </c>
      <c r="AP40" s="210">
        <f t="shared" si="24"/>
        <v>96.960460201457082</v>
      </c>
      <c r="AT40" s="210" t="str">
        <v>Y</v>
      </c>
      <c r="AU40" s="210" t="str">
        <v>N</v>
      </c>
      <c r="AV40" s="210" t="str">
        <v>Y</v>
      </c>
      <c r="AW40" s="210" t="str">
        <v>N</v>
      </c>
      <c r="AX40" s="210" t="str">
        <v>N</v>
      </c>
      <c r="AY40" s="210" t="str">
        <v>N</v>
      </c>
      <c r="AZ40" s="210" t="str">
        <v>N</v>
      </c>
      <c r="BA40" s="210" t="str">
        <v>N</v>
      </c>
      <c r="BB40" s="210" t="str">
        <v>N</v>
      </c>
      <c r="BC40" s="210" t="str">
        <v>N</v>
      </c>
      <c r="BD40" s="210" t="str">
        <v>Y</v>
      </c>
      <c r="BE40" s="210" t="str">
        <v>N</v>
      </c>
      <c r="BF40" s="210" t="str">
        <v>N</v>
      </c>
      <c r="BG40" s="210" t="str">
        <v>N</v>
      </c>
      <c r="BH40" s="210" t="str">
        <v>N</v>
      </c>
      <c r="BI40" s="210" t="str">
        <v>N</v>
      </c>
      <c r="BJ40" s="210" t="str">
        <v>N</v>
      </c>
      <c r="BK40" s="210" t="str">
        <v>N</v>
      </c>
      <c r="BL40" s="210" t="str">
        <v>N</v>
      </c>
      <c r="BM40" s="210" t="str">
        <v>N</v>
      </c>
      <c r="BN40" s="210" t="str">
        <v>N</v>
      </c>
      <c r="BO40" s="210" t="str">
        <v>N</v>
      </c>
      <c r="BP40" s="210" t="str">
        <v>N</v>
      </c>
      <c r="BQ40" s="210" t="str">
        <v>N</v>
      </c>
      <c r="BR40" s="210" t="str">
        <v>N</v>
      </c>
      <c r="BS40" s="210" t="str">
        <v>N</v>
      </c>
      <c r="BT40" s="210" t="str">
        <v>N</v>
      </c>
      <c r="BU40" s="210" t="str">
        <v>N</v>
      </c>
      <c r="BV40" s="210" t="str">
        <v>N</v>
      </c>
      <c r="BW40" s="210" t="str">
        <v>N</v>
      </c>
      <c r="BX40" s="210" t="str">
        <v>N</v>
      </c>
      <c r="BY40" s="210" t="str">
        <v>N</v>
      </c>
      <c r="BZ40" s="210" t="str">
        <v>L</v>
      </c>
      <c r="CA40" s="210" t="str">
        <v>N</v>
      </c>
      <c r="CB40" s="210" t="str">
        <v>N</v>
      </c>
      <c r="CC40" s="210" t="str">
        <v>N</v>
      </c>
      <c r="CD40" s="210" t="str">
        <v>N</v>
      </c>
      <c r="CE40" s="210" t="str">
        <v>N</v>
      </c>
      <c r="CF40" s="210" t="str">
        <v>N</v>
      </c>
      <c r="CG40" s="210" t="str">
        <v>N</v>
      </c>
      <c r="CH40" s="210" t="str">
        <v>N</v>
      </c>
      <c r="CI40" s="210" t="str">
        <v>N</v>
      </c>
      <c r="CJ40" s="210" t="str">
        <v>N</v>
      </c>
      <c r="CK40" s="210" t="str">
        <v>N</v>
      </c>
      <c r="CL40" s="210" t="str">
        <v>N</v>
      </c>
      <c r="CM40" s="210" t="str">
        <v>N</v>
      </c>
      <c r="CN40" s="210" t="str">
        <v>N</v>
      </c>
      <c r="CO40" s="1" t="str">
        <v>N</v>
      </c>
      <c r="CP40" s="1" t="str">
        <v>N</v>
      </c>
      <c r="CQ40" s="1" t="str">
        <v>N</v>
      </c>
      <c r="CR40" s="1" t="str">
        <v>N</v>
      </c>
    </row>
    <row r="41" spans="2:96">
      <c r="B41" s="101">
        <v>2041</v>
      </c>
      <c r="C41" s="191"/>
      <c r="D41" s="191"/>
      <c r="E41" s="483">
        <f t="shared" si="28"/>
        <v>0.12564000000000003</v>
      </c>
      <c r="F41" s="483">
        <f t="shared" si="29"/>
        <v>9.8080693762392632E-2</v>
      </c>
      <c r="G41" s="69"/>
      <c r="H41" s="47"/>
      <c r="I41" s="70"/>
      <c r="J41" s="1">
        <v>0</v>
      </c>
      <c r="K41" s="220">
        <v>34</v>
      </c>
      <c r="L41" s="218">
        <f t="shared" si="25"/>
        <v>0.73430674466477686</v>
      </c>
      <c r="M41" s="206">
        <f t="shared" si="19"/>
        <v>0.71177032276260965</v>
      </c>
      <c r="N41" s="206">
        <f t="shared" si="20"/>
        <v>0.28422190223921745</v>
      </c>
      <c r="O41" s="206">
        <f t="shared" si="3"/>
        <v>0.52265774865680936</v>
      </c>
      <c r="P41" s="207">
        <f t="shared" si="4"/>
        <v>0.20870605979571022</v>
      </c>
      <c r="Q41" s="218">
        <f t="shared" si="30"/>
        <v>0.47058823529411775</v>
      </c>
      <c r="R41" s="206">
        <f t="shared" si="5"/>
        <v>0</v>
      </c>
      <c r="S41" s="206">
        <f t="shared" si="21"/>
        <v>0.47058823529411775</v>
      </c>
      <c r="T41" s="218" cm="1">
        <f t="array" ref="T41">IF(Q41="", "", IF(Q41&lt;1, 0, SUM(EXP(-0.01*_xlfn.SEQUENCE(1,R41)*K41)*(2-EXP(0.00693*_xlfn.SEQUENCE(1, R41)*K41)))))</f>
        <v>0</v>
      </c>
      <c r="U41" s="206">
        <f t="shared" si="6"/>
        <v>0.24595658760320446</v>
      </c>
      <c r="V41" s="206">
        <f t="shared" si="7"/>
        <v>0.24595658760320446</v>
      </c>
      <c r="W41" s="218" cm="1">
        <f t="array" ref="W41">IF(Q41="", "", IF(Q41&lt;1, 0, SUM(EXP(-0.037*_xlfn.SEQUENCE(1,R41)*K41)*(2-EXP(0.00693*_xlfn.SEQUENCE(1, R41)*K41)))))</f>
        <v>0</v>
      </c>
      <c r="X41" s="206">
        <f t="shared" si="8"/>
        <v>9.8214616374451877E-2</v>
      </c>
      <c r="Y41" s="207">
        <f t="shared" si="22"/>
        <v>9.8214616374451877E-2</v>
      </c>
      <c r="Z41" s="218">
        <f t="shared" si="23"/>
        <v>0.31474263684278186</v>
      </c>
      <c r="AA41" s="218">
        <f t="shared" si="9"/>
        <v>0.16450267797855611</v>
      </c>
      <c r="AB41" s="207">
        <f t="shared" si="10"/>
        <v>6.5688695585169141E-2</v>
      </c>
      <c r="AC41" s="206" cm="1">
        <f t="array" ref="AC41">IF(Q41="", "", IF(Q41&lt;1, 0, SUM(EXP(-0.01*_xlfn.SEQUENCE(1,R41)*K41)*(2-EXP(0.00693*_xlfn.SEQUENCE(1, R41)*K41))*EXP(-0.034*_xlfn.SEQUENCE(1, R41)*K41))))</f>
        <v>0</v>
      </c>
      <c r="AD41" s="206">
        <f t="shared" si="11"/>
        <v>0.24595658760320446</v>
      </c>
      <c r="AE41" s="206">
        <f t="shared" si="12"/>
        <v>0.24595658760320446</v>
      </c>
      <c r="AF41" s="218" cm="1">
        <f t="array" ref="AF41">IF(Q41="", "", IF(Q41&lt;1, 0, SUM(EXP(-0.037*_xlfn.SEQUENCE(1,R41)*K41)*(2-EXP(0.00693*_xlfn.SEQUENCE(1, R41)*K41))*EXP(-0.034*_xlfn.SEQUENCE(1, R41)*K41))))</f>
        <v>0</v>
      </c>
      <c r="AG41" s="206">
        <f t="shared" si="13"/>
        <v>3.0912327334197243E-2</v>
      </c>
      <c r="AH41" s="207">
        <f t="shared" si="14"/>
        <v>3.0912327334197243E-2</v>
      </c>
      <c r="AI41" s="218">
        <f t="shared" si="15"/>
        <v>0.3605949401730783</v>
      </c>
      <c r="AJ41" s="226">
        <f t="shared" si="16"/>
        <v>35</v>
      </c>
      <c r="AK41" s="226">
        <f t="shared" si="17"/>
        <v>15</v>
      </c>
      <c r="AL41" s="206" cm="1">
        <f t="array" ref="AL41">IF(AK41=0, "", SUM(EXP(-0.03*_xlfn.SEQUENCE(1,AK41, AJ41))))</f>
        <v>4.2906404407894385</v>
      </c>
      <c r="AM41" s="210">
        <f t="shared" si="31"/>
        <v>25.286038393779087</v>
      </c>
      <c r="AN41" s="1">
        <f t="shared" si="32"/>
        <v>1.8544483254956627</v>
      </c>
      <c r="AO41" s="210">
        <f t="shared" si="33"/>
        <v>1.6160744021928934</v>
      </c>
      <c r="AP41" s="210">
        <f t="shared" si="24"/>
        <v>98.576534603649975</v>
      </c>
      <c r="AT41" s="210" t="str">
        <v>Y</v>
      </c>
      <c r="AU41" s="210" t="str">
        <v>Y</v>
      </c>
      <c r="AV41" s="210" t="str">
        <v>N</v>
      </c>
      <c r="AW41" s="210" t="str">
        <v>N</v>
      </c>
      <c r="AX41" s="210" t="str">
        <v>N</v>
      </c>
      <c r="AY41" s="210" t="str">
        <v>N</v>
      </c>
      <c r="AZ41" s="210" t="str">
        <v>N</v>
      </c>
      <c r="BA41" s="210" t="str">
        <v>N</v>
      </c>
      <c r="BB41" s="210" t="str">
        <v>N</v>
      </c>
      <c r="BC41" s="210" t="str">
        <v>N</v>
      </c>
      <c r="BD41" s="210" t="str">
        <v>N</v>
      </c>
      <c r="BE41" s="210" t="str">
        <v>N</v>
      </c>
      <c r="BF41" s="210" t="str">
        <v>N</v>
      </c>
      <c r="BG41" s="210" t="str">
        <v>N</v>
      </c>
      <c r="BH41" s="210" t="str">
        <v>N</v>
      </c>
      <c r="BI41" s="210" t="str">
        <v>N</v>
      </c>
      <c r="BJ41" s="210" t="str">
        <v>L</v>
      </c>
      <c r="BK41" s="210" t="str">
        <v>N</v>
      </c>
      <c r="BL41" s="210" t="str">
        <v>N</v>
      </c>
      <c r="BM41" s="210" t="str">
        <v>N</v>
      </c>
      <c r="BN41" s="210" t="str">
        <v>N</v>
      </c>
      <c r="BO41" s="210" t="str">
        <v>N</v>
      </c>
      <c r="BP41" s="210" t="str">
        <v>N</v>
      </c>
      <c r="BQ41" s="210" t="str">
        <v>N</v>
      </c>
      <c r="BR41" s="210" t="str">
        <v>N</v>
      </c>
      <c r="BS41" s="210" t="str">
        <v>N</v>
      </c>
      <c r="BT41" s="210" t="str">
        <v>N</v>
      </c>
      <c r="BU41" s="210" t="str">
        <v>N</v>
      </c>
      <c r="BV41" s="210" t="str">
        <v>N</v>
      </c>
      <c r="BW41" s="210" t="str">
        <v>N</v>
      </c>
      <c r="BX41" s="210" t="str">
        <v>N</v>
      </c>
      <c r="BY41" s="210" t="str">
        <v>N</v>
      </c>
      <c r="BZ41" s="210" t="str">
        <v>N</v>
      </c>
      <c r="CA41" s="210" t="str">
        <v>L</v>
      </c>
      <c r="CB41" s="210" t="str">
        <v>N</v>
      </c>
      <c r="CC41" s="210" t="str">
        <v>N</v>
      </c>
      <c r="CD41" s="210" t="str">
        <v>N</v>
      </c>
      <c r="CE41" s="210" t="str">
        <v>N</v>
      </c>
      <c r="CF41" s="210" t="str">
        <v>N</v>
      </c>
      <c r="CG41" s="210" t="str">
        <v>N</v>
      </c>
      <c r="CH41" s="210" t="str">
        <v>N</v>
      </c>
      <c r="CI41" s="210" t="str">
        <v>N</v>
      </c>
      <c r="CJ41" s="210" t="str">
        <v>N</v>
      </c>
      <c r="CK41" s="210" t="str">
        <v>N</v>
      </c>
      <c r="CL41" s="210" t="str">
        <v>N</v>
      </c>
      <c r="CM41" s="210" t="str">
        <v>N</v>
      </c>
      <c r="CN41" s="210" t="str">
        <v>N</v>
      </c>
      <c r="CO41" s="1" t="str">
        <v>N</v>
      </c>
      <c r="CP41" s="1" t="str">
        <v>N</v>
      </c>
      <c r="CQ41" s="1" t="str">
        <v>N</v>
      </c>
      <c r="CR41" s="1" t="str">
        <v>N</v>
      </c>
    </row>
    <row r="42" spans="2:96">
      <c r="B42" s="101">
        <v>2042</v>
      </c>
      <c r="C42" s="191"/>
      <c r="D42" s="191"/>
      <c r="E42" s="483">
        <f t="shared" si="28"/>
        <v>0.11434666666666668</v>
      </c>
      <c r="F42" s="483">
        <f t="shared" si="29"/>
        <v>9.7104774553459894E-2</v>
      </c>
      <c r="G42" s="69"/>
      <c r="H42" s="47"/>
      <c r="I42" s="70"/>
      <c r="J42" s="1">
        <v>0</v>
      </c>
      <c r="K42" s="220">
        <v>35</v>
      </c>
      <c r="L42" s="218">
        <f t="shared" si="25"/>
        <v>0.7255050276810584</v>
      </c>
      <c r="M42" s="206">
        <f t="shared" si="19"/>
        <v>0.70468808971871344</v>
      </c>
      <c r="N42" s="206">
        <f t="shared" si="20"/>
        <v>0.27389786433144558</v>
      </c>
      <c r="O42" s="206">
        <f t="shared" si="3"/>
        <v>0.51125475203788739</v>
      </c>
      <c r="P42" s="207">
        <f t="shared" si="4"/>
        <v>0.19871427764356819</v>
      </c>
      <c r="Q42" s="218">
        <f t="shared" si="30"/>
        <v>0.4285714285714286</v>
      </c>
      <c r="R42" s="206">
        <f t="shared" si="5"/>
        <v>0</v>
      </c>
      <c r="S42" s="206">
        <f t="shared" si="21"/>
        <v>0.4285714285714286</v>
      </c>
      <c r="T42" s="218" cm="1">
        <f t="array" ref="T42">IF(Q42="", "", IF(Q42&lt;1, 0, SUM(EXP(-0.01*_xlfn.SEQUENCE(1,R42)*K42)*(2-EXP(0.00693*_xlfn.SEQUENCE(1, R42)*K42)))))</f>
        <v>0</v>
      </c>
      <c r="U42" s="206">
        <f t="shared" si="6"/>
        <v>0.2191091794448089</v>
      </c>
      <c r="V42" s="206">
        <f t="shared" si="7"/>
        <v>0.2191091794448089</v>
      </c>
      <c r="W42" s="218" cm="1">
        <f t="array" ref="W42">IF(Q42="", "", IF(Q42&lt;1, 0, SUM(EXP(-0.037*_xlfn.SEQUENCE(1,R42)*K42)*(2-EXP(0.00693*_xlfn.SEQUENCE(1, R42)*K42)))))</f>
        <v>0</v>
      </c>
      <c r="X42" s="206">
        <f t="shared" si="8"/>
        <v>8.5163261847243529E-2</v>
      </c>
      <c r="Y42" s="207">
        <f t="shared" si="22"/>
        <v>8.5163261847243529E-2</v>
      </c>
      <c r="Z42" s="218">
        <f t="shared" si="23"/>
        <v>0.30422126406670402</v>
      </c>
      <c r="AA42" s="218">
        <f t="shared" si="9"/>
        <v>0.15553456692507542</v>
      </c>
      <c r="AB42" s="207">
        <f t="shared" si="10"/>
        <v>6.0453108732828297E-2</v>
      </c>
      <c r="AC42" s="206" cm="1">
        <f t="array" ref="AC42">IF(Q42="", "", IF(Q42&lt;1, 0, SUM(EXP(-0.01*_xlfn.SEQUENCE(1,R42)*K42)*(2-EXP(0.00693*_xlfn.SEQUENCE(1, R42)*K42))*EXP(-0.034*_xlfn.SEQUENCE(1, R42)*K42))))</f>
        <v>0</v>
      </c>
      <c r="AD42" s="206">
        <f t="shared" si="11"/>
        <v>0.2191091794448089</v>
      </c>
      <c r="AE42" s="206">
        <f t="shared" si="12"/>
        <v>0.2191091794448089</v>
      </c>
      <c r="AF42" s="218" cm="1">
        <f t="array" ref="AF42">IF(Q42="", "", IF(Q42&lt;1, 0, SUM(EXP(-0.037*_xlfn.SEQUENCE(1,R42)*K42)*(2-EXP(0.00693*_xlfn.SEQUENCE(1, R42)*K42))*EXP(-0.034*_xlfn.SEQUENCE(1, R42)*K42))))</f>
        <v>0</v>
      </c>
      <c r="AG42" s="206">
        <f t="shared" si="13"/>
        <v>2.5908475171212135E-2</v>
      </c>
      <c r="AH42" s="207">
        <f t="shared" si="14"/>
        <v>2.5908475171212135E-2</v>
      </c>
      <c r="AI42" s="218">
        <f t="shared" si="15"/>
        <v>0.34993774911115533</v>
      </c>
      <c r="AJ42" s="226">
        <f t="shared" si="16"/>
        <v>36</v>
      </c>
      <c r="AK42" s="226">
        <f t="shared" si="17"/>
        <v>14</v>
      </c>
      <c r="AL42" s="206" cm="1">
        <f t="array" ref="AL42">IF(AK42=0, "", SUM(EXP(-0.03*_xlfn.SEQUENCE(1,AK42, AJ42))))</f>
        <v>3.9407026916782826</v>
      </c>
      <c r="AM42" s="210">
        <f t="shared" si="31"/>
        <v>25.286038393779087</v>
      </c>
      <c r="AN42" s="1">
        <f t="shared" si="32"/>
        <v>1.5433316425857186</v>
      </c>
      <c r="AO42" s="210">
        <f t="shared" si="33"/>
        <v>1.5683121854901687</v>
      </c>
      <c r="AP42" s="210">
        <f t="shared" si="24"/>
        <v>100.14484678914015</v>
      </c>
      <c r="AT42" s="210" t="str">
        <v>Y</v>
      </c>
      <c r="AU42" s="210" t="str">
        <v>N</v>
      </c>
      <c r="AV42" s="210" t="str">
        <v>N</v>
      </c>
      <c r="AW42" s="210" t="str">
        <v>N</v>
      </c>
      <c r="AX42" s="210" t="str">
        <v>Y</v>
      </c>
      <c r="AY42" s="210" t="str">
        <v>N</v>
      </c>
      <c r="AZ42" s="210" t="str">
        <v>Y</v>
      </c>
      <c r="BA42" s="210" t="str">
        <v>N</v>
      </c>
      <c r="BB42" s="210" t="str">
        <v>N</v>
      </c>
      <c r="BC42" s="210" t="str">
        <v>N</v>
      </c>
      <c r="BD42" s="210" t="str">
        <v>N</v>
      </c>
      <c r="BE42" s="210" t="str">
        <v>N</v>
      </c>
      <c r="BF42" s="210" t="str">
        <v>N</v>
      </c>
      <c r="BG42" s="210" t="str">
        <v>N</v>
      </c>
      <c r="BH42" s="210" t="str">
        <v>N</v>
      </c>
      <c r="BI42" s="210" t="str">
        <v>N</v>
      </c>
      <c r="BJ42" s="210" t="str">
        <v>N</v>
      </c>
      <c r="BK42" s="210" t="str">
        <v>N</v>
      </c>
      <c r="BL42" s="210" t="str">
        <v>N</v>
      </c>
      <c r="BM42" s="210" t="str">
        <v>N</v>
      </c>
      <c r="BN42" s="210" t="str">
        <v>N</v>
      </c>
      <c r="BO42" s="210" t="str">
        <v>N</v>
      </c>
      <c r="BP42" s="210" t="str">
        <v>N</v>
      </c>
      <c r="BQ42" s="210" t="str">
        <v>N</v>
      </c>
      <c r="BR42" s="210" t="str">
        <v>N</v>
      </c>
      <c r="BS42" s="210" t="str">
        <v>N</v>
      </c>
      <c r="BT42" s="210" t="str">
        <v>N</v>
      </c>
      <c r="BU42" s="210" t="str">
        <v>N</v>
      </c>
      <c r="BV42" s="210" t="str">
        <v>N</v>
      </c>
      <c r="BW42" s="210" t="str">
        <v>N</v>
      </c>
      <c r="BX42" s="210" t="str">
        <v>N</v>
      </c>
      <c r="BY42" s="210" t="str">
        <v>N</v>
      </c>
      <c r="BZ42" s="210" t="str">
        <v>N</v>
      </c>
      <c r="CA42" s="210" t="str">
        <v>N</v>
      </c>
      <c r="CB42" s="210" t="str">
        <v>L</v>
      </c>
      <c r="CC42" s="210" t="str">
        <v>N</v>
      </c>
      <c r="CD42" s="210" t="str">
        <v>N</v>
      </c>
      <c r="CE42" s="210" t="str">
        <v>N</v>
      </c>
      <c r="CF42" s="210" t="str">
        <v>N</v>
      </c>
      <c r="CG42" s="210" t="str">
        <v>N</v>
      </c>
      <c r="CH42" s="210" t="str">
        <v>N</v>
      </c>
      <c r="CI42" s="210" t="str">
        <v>N</v>
      </c>
      <c r="CJ42" s="210" t="str">
        <v>N</v>
      </c>
      <c r="CK42" s="210" t="str">
        <v>N</v>
      </c>
      <c r="CL42" s="210" t="str">
        <v>N</v>
      </c>
      <c r="CM42" s="210" t="str">
        <v>N</v>
      </c>
      <c r="CN42" s="210" t="str">
        <v>N</v>
      </c>
      <c r="CO42" s="1" t="str">
        <v>N</v>
      </c>
      <c r="CP42" s="1" t="str">
        <v>N</v>
      </c>
      <c r="CQ42" s="1" t="str">
        <v>N</v>
      </c>
      <c r="CR42" s="1" t="str">
        <v>N</v>
      </c>
    </row>
    <row r="43" spans="2:96">
      <c r="B43" s="101">
        <v>2043</v>
      </c>
      <c r="C43" s="191"/>
      <c r="D43" s="191"/>
      <c r="E43" s="483">
        <f t="shared" si="28"/>
        <v>0.10305333333333333</v>
      </c>
      <c r="F43" s="483">
        <f t="shared" si="29"/>
        <v>9.6138565902903414E-2</v>
      </c>
      <c r="G43" s="69"/>
      <c r="H43" s="47"/>
      <c r="I43" s="70"/>
      <c r="J43" s="1">
        <v>0</v>
      </c>
      <c r="K43" s="220">
        <v>36</v>
      </c>
      <c r="L43" s="218">
        <f t="shared" si="25"/>
        <v>0.71664210295878661</v>
      </c>
      <c r="M43" s="206">
        <f t="shared" si="19"/>
        <v>0.69767632607103103</v>
      </c>
      <c r="N43" s="206">
        <f t="shared" si="20"/>
        <v>0.26394883537928687</v>
      </c>
      <c r="O43" s="206">
        <f t="shared" si="3"/>
        <v>0.49998422950010379</v>
      </c>
      <c r="P43" s="207">
        <f t="shared" si="4"/>
        <v>0.18915684845973471</v>
      </c>
      <c r="Q43" s="218">
        <f t="shared" si="30"/>
        <v>0.38888888888888884</v>
      </c>
      <c r="R43" s="206">
        <f t="shared" si="5"/>
        <v>0</v>
      </c>
      <c r="S43" s="206">
        <f t="shared" si="21"/>
        <v>0.38888888888888884</v>
      </c>
      <c r="T43" s="218" cm="1">
        <f t="array" ref="T43">IF(Q43="", "", IF(Q43&lt;1, 0, SUM(EXP(-0.01*_xlfn.SEQUENCE(1,R43)*K43)*(2-EXP(0.00693*_xlfn.SEQUENCE(1, R43)*K43)))))</f>
        <v>0</v>
      </c>
      <c r="U43" s="206">
        <f t="shared" si="6"/>
        <v>0.19443831147226256</v>
      </c>
      <c r="V43" s="206">
        <f t="shared" si="7"/>
        <v>0.19443831147226256</v>
      </c>
      <c r="W43" s="218" cm="1">
        <f t="array" ref="W43">IF(Q43="", "", IF(Q43&lt;1, 0, SUM(EXP(-0.037*_xlfn.SEQUENCE(1,R43)*K43)*(2-EXP(0.00693*_xlfn.SEQUENCE(1, R43)*K43)))))</f>
        <v>0</v>
      </c>
      <c r="X43" s="206">
        <f t="shared" si="8"/>
        <v>7.3560996623230165E-2</v>
      </c>
      <c r="Y43" s="207">
        <f t="shared" si="22"/>
        <v>7.3560996623230165E-2</v>
      </c>
      <c r="Z43" s="218">
        <f t="shared" si="23"/>
        <v>0.29405160495167831</v>
      </c>
      <c r="AA43" s="218">
        <f t="shared" si="9"/>
        <v>0.1470211651350338</v>
      </c>
      <c r="AB43" s="207">
        <f t="shared" si="10"/>
        <v>5.5621874877186395E-2</v>
      </c>
      <c r="AC43" s="206" cm="1">
        <f t="array" ref="AC43">IF(Q43="", "", IF(Q43&lt;1, 0, SUM(EXP(-0.01*_xlfn.SEQUENCE(1,R43)*K43)*(2-EXP(0.00693*_xlfn.SEQUENCE(1, R43)*K43))*EXP(-0.034*_xlfn.SEQUENCE(1, R43)*K43))))</f>
        <v>0</v>
      </c>
      <c r="AD43" s="206">
        <f t="shared" si="11"/>
        <v>0.19443831147226256</v>
      </c>
      <c r="AE43" s="206">
        <f t="shared" si="12"/>
        <v>0.19443831147226256</v>
      </c>
      <c r="AF43" s="218" cm="1">
        <f t="array" ref="AF43">IF(Q43="", "", IF(Q43&lt;1, 0, SUM(EXP(-0.037*_xlfn.SEQUENCE(1,R43)*K43)*(2-EXP(0.00693*_xlfn.SEQUENCE(1, R43)*K43))*EXP(-0.034*_xlfn.SEQUENCE(1, R43)*K43))))</f>
        <v>0</v>
      </c>
      <c r="AG43" s="206">
        <f t="shared" si="13"/>
        <v>2.1630729118905821E-2</v>
      </c>
      <c r="AH43" s="207">
        <f t="shared" si="14"/>
        <v>2.1630729118905821E-2</v>
      </c>
      <c r="AI43" s="218">
        <f t="shared" si="15"/>
        <v>0.33959552564493911</v>
      </c>
      <c r="AJ43" s="226">
        <f t="shared" si="16"/>
        <v>37</v>
      </c>
      <c r="AK43" s="226">
        <f t="shared" si="17"/>
        <v>13</v>
      </c>
      <c r="AL43" s="206" cm="1">
        <f t="array" ref="AL43">IF(AK43=0, "", SUM(EXP(-0.03*_xlfn.SEQUENCE(1,AK43, AJ43))))</f>
        <v>3.6011071660333434</v>
      </c>
      <c r="AM43" s="210">
        <f t="shared" si="31"/>
        <v>25.286038393779087</v>
      </c>
      <c r="AN43" s="1">
        <f t="shared" si="32"/>
        <v>1.2722687463726152</v>
      </c>
      <c r="AO43" s="210">
        <f t="shared" si="33"/>
        <v>1.5219615556186337</v>
      </c>
      <c r="AP43" s="210">
        <f t="shared" si="24"/>
        <v>101.66680834475878</v>
      </c>
      <c r="AT43" s="210" t="str">
        <v>Y</v>
      </c>
      <c r="AU43" s="210" t="str">
        <v>Y</v>
      </c>
      <c r="AV43" s="210" t="str">
        <v>Y</v>
      </c>
      <c r="AW43" s="210" t="str">
        <v>Y</v>
      </c>
      <c r="AX43" s="210" t="str">
        <v>N</v>
      </c>
      <c r="AY43" s="210" t="str">
        <v>Y</v>
      </c>
      <c r="AZ43" s="210" t="str">
        <v>N</v>
      </c>
      <c r="BA43" s="210" t="str">
        <v>N</v>
      </c>
      <c r="BB43" s="210" t="str">
        <v>Y</v>
      </c>
      <c r="BC43" s="210" t="str">
        <v>N</v>
      </c>
      <c r="BD43" s="210" t="str">
        <v>N</v>
      </c>
      <c r="BE43" s="210" t="str">
        <v>Y</v>
      </c>
      <c r="BF43" s="210" t="str">
        <v>N</v>
      </c>
      <c r="BG43" s="210" t="str">
        <v>N</v>
      </c>
      <c r="BH43" s="210" t="str">
        <v>N</v>
      </c>
      <c r="BI43" s="210" t="str">
        <v>N</v>
      </c>
      <c r="BJ43" s="210" t="str">
        <v>N</v>
      </c>
      <c r="BK43" s="210" t="str">
        <v>L</v>
      </c>
      <c r="BL43" s="210" t="str">
        <v>N</v>
      </c>
      <c r="BM43" s="210" t="str">
        <v>N</v>
      </c>
      <c r="BN43" s="210" t="str">
        <v>N</v>
      </c>
      <c r="BO43" s="210" t="str">
        <v>N</v>
      </c>
      <c r="BP43" s="210" t="str">
        <v>N</v>
      </c>
      <c r="BQ43" s="210" t="str">
        <v>N</v>
      </c>
      <c r="BR43" s="210" t="str">
        <v>N</v>
      </c>
      <c r="BS43" s="210" t="str">
        <v>N</v>
      </c>
      <c r="BT43" s="210" t="str">
        <v>N</v>
      </c>
      <c r="BU43" s="210" t="str">
        <v>N</v>
      </c>
      <c r="BV43" s="210" t="str">
        <v>N</v>
      </c>
      <c r="BW43" s="210" t="str">
        <v>N</v>
      </c>
      <c r="BX43" s="210" t="str">
        <v>N</v>
      </c>
      <c r="BY43" s="210" t="str">
        <v>N</v>
      </c>
      <c r="BZ43" s="210" t="str">
        <v>N</v>
      </c>
      <c r="CA43" s="210" t="str">
        <v>N</v>
      </c>
      <c r="CB43" s="210" t="str">
        <v>N</v>
      </c>
      <c r="CC43" s="210" t="str">
        <v>L</v>
      </c>
      <c r="CD43" s="210" t="str">
        <v>N</v>
      </c>
      <c r="CE43" s="210" t="str">
        <v>N</v>
      </c>
      <c r="CF43" s="210" t="str">
        <v>N</v>
      </c>
      <c r="CG43" s="210" t="str">
        <v>N</v>
      </c>
      <c r="CH43" s="210" t="str">
        <v>N</v>
      </c>
      <c r="CI43" s="210" t="str">
        <v>N</v>
      </c>
      <c r="CJ43" s="210" t="str">
        <v>N</v>
      </c>
      <c r="CK43" s="210" t="str">
        <v>N</v>
      </c>
      <c r="CL43" s="210" t="str">
        <v>N</v>
      </c>
      <c r="CM43" s="210" t="str">
        <v>N</v>
      </c>
      <c r="CN43" s="210" t="str">
        <v>N</v>
      </c>
      <c r="CO43" s="1" t="str">
        <v>N</v>
      </c>
      <c r="CP43" s="1" t="str">
        <v>N</v>
      </c>
      <c r="CQ43" s="1" t="str">
        <v>N</v>
      </c>
      <c r="CR43" s="1" t="str">
        <v>N</v>
      </c>
    </row>
    <row r="44" spans="2:96">
      <c r="B44" s="101">
        <v>2044</v>
      </c>
      <c r="C44" s="191"/>
      <c r="D44" s="191"/>
      <c r="E44" s="483">
        <f t="shared" si="28"/>
        <v>9.1760000000000008E-2</v>
      </c>
      <c r="F44" s="483">
        <f t="shared" si="29"/>
        <v>9.5181971189052972E-2</v>
      </c>
      <c r="G44" s="69"/>
      <c r="H44" s="47"/>
      <c r="I44" s="70"/>
      <c r="J44" s="1">
        <v>0</v>
      </c>
      <c r="K44" s="220">
        <v>37</v>
      </c>
      <c r="L44" s="218">
        <f t="shared" si="25"/>
        <v>0.70771754485518423</v>
      </c>
      <c r="M44" s="206">
        <f t="shared" si="19"/>
        <v>0.69073433063735468</v>
      </c>
      <c r="N44" s="206">
        <f t="shared" si="20"/>
        <v>0.25436119360819465</v>
      </c>
      <c r="O44" s="206">
        <f t="shared" si="3"/>
        <v>0.48884480462585772</v>
      </c>
      <c r="P44" s="207">
        <f t="shared" si="4"/>
        <v>0.18001587944682571</v>
      </c>
      <c r="Q44" s="218">
        <f t="shared" si="30"/>
        <v>0.35135135135135132</v>
      </c>
      <c r="R44" s="206">
        <f t="shared" si="5"/>
        <v>0</v>
      </c>
      <c r="S44" s="206">
        <f t="shared" si="21"/>
        <v>0.35135135135135132</v>
      </c>
      <c r="T44" s="218" cm="1">
        <f t="array" ref="T44">IF(Q44="", "", IF(Q44&lt;1, 0, SUM(EXP(-0.01*_xlfn.SEQUENCE(1,R44)*K44)*(2-EXP(0.00693*_xlfn.SEQUENCE(1, R44)*K44)))))</f>
        <v>0</v>
      </c>
      <c r="U44" s="206">
        <f t="shared" si="6"/>
        <v>0.17175628270638241</v>
      </c>
      <c r="V44" s="206">
        <f t="shared" si="7"/>
        <v>0.17175628270638241</v>
      </c>
      <c r="W44" s="218" cm="1">
        <f t="array" ref="W44">IF(Q44="", "", IF(Q44&lt;1, 0, SUM(EXP(-0.037*_xlfn.SEQUENCE(1,R44)*K44)*(2-EXP(0.00693*_xlfn.SEQUENCE(1, R44)*K44)))))</f>
        <v>0</v>
      </c>
      <c r="X44" s="206">
        <f t="shared" si="8"/>
        <v>6.3248822508344155E-2</v>
      </c>
      <c r="Y44" s="207">
        <f t="shared" si="22"/>
        <v>6.3248822508344155E-2</v>
      </c>
      <c r="Z44" s="218">
        <f t="shared" si="23"/>
        <v>0.28422190223921745</v>
      </c>
      <c r="AA44" s="218">
        <f t="shared" si="9"/>
        <v>0.13894040027051988</v>
      </c>
      <c r="AB44" s="207">
        <f t="shared" si="10"/>
        <v>5.1164455689642452E-2</v>
      </c>
      <c r="AC44" s="206" cm="1">
        <f t="array" ref="AC44">IF(Q44="", "", IF(Q44&lt;1, 0, SUM(EXP(-0.01*_xlfn.SEQUENCE(1,R44)*K44)*(2-EXP(0.00693*_xlfn.SEQUENCE(1, R44)*K44))*EXP(-0.034*_xlfn.SEQUENCE(1, R44)*K44))))</f>
        <v>0</v>
      </c>
      <c r="AD44" s="206">
        <f t="shared" si="11"/>
        <v>0.17175628270638241</v>
      </c>
      <c r="AE44" s="206">
        <f t="shared" si="12"/>
        <v>0.17175628270638241</v>
      </c>
      <c r="AF44" s="218" cm="1">
        <f t="array" ref="AF44">IF(Q44="", "", IF(Q44&lt;1, 0, SUM(EXP(-0.037*_xlfn.SEQUENCE(1,R44)*K44)*(2-EXP(0.00693*_xlfn.SEQUENCE(1, R44)*K44))*EXP(-0.034*_xlfn.SEQUENCE(1, R44)*K44))))</f>
        <v>0</v>
      </c>
      <c r="AG44" s="206">
        <f t="shared" si="13"/>
        <v>1.7976700647712208E-2</v>
      </c>
      <c r="AH44" s="207">
        <f t="shared" si="14"/>
        <v>1.7976700647712208E-2</v>
      </c>
      <c r="AI44" s="218">
        <f t="shared" si="15"/>
        <v>0.32955896107518912</v>
      </c>
      <c r="AJ44" s="226">
        <f t="shared" si="16"/>
        <v>38</v>
      </c>
      <c r="AK44" s="226">
        <f t="shared" si="17"/>
        <v>12</v>
      </c>
      <c r="AL44" s="206" cm="1">
        <f t="array" ref="AL44">IF(AK44=0, "", SUM(EXP(-0.03*_xlfn.SEQUENCE(1,AK44, AJ44))))</f>
        <v>3.2715482049581541</v>
      </c>
      <c r="AM44" s="210">
        <f t="shared" si="31"/>
        <v>25.286038393779087</v>
      </c>
      <c r="AN44" s="1">
        <f t="shared" si="32"/>
        <v>1.0370940373201094</v>
      </c>
      <c r="AO44" s="210">
        <f t="shared" si="33"/>
        <v>1.4769807938826427</v>
      </c>
      <c r="AP44" s="210">
        <f t="shared" si="24"/>
        <v>103.14378913864142</v>
      </c>
      <c r="AT44" s="210" t="str">
        <v>Y</v>
      </c>
      <c r="AU44" s="210" t="str">
        <v>N</v>
      </c>
      <c r="AV44" s="210" t="str">
        <v>N</v>
      </c>
      <c r="AW44" s="210" t="str">
        <v>N</v>
      </c>
      <c r="AX44" s="210" t="str">
        <v>N</v>
      </c>
      <c r="AY44" s="210" t="str">
        <v>N</v>
      </c>
      <c r="AZ44" s="210" t="str">
        <v>N</v>
      </c>
      <c r="BA44" s="210" t="str">
        <v>N</v>
      </c>
      <c r="BB44" s="210" t="str">
        <v>N</v>
      </c>
      <c r="BC44" s="210" t="str">
        <v>N</v>
      </c>
      <c r="BD44" s="210" t="str">
        <v>N</v>
      </c>
      <c r="BE44" s="210" t="str">
        <v>N</v>
      </c>
      <c r="BF44" s="210" t="str">
        <v>N</v>
      </c>
      <c r="BG44" s="210" t="str">
        <v>N</v>
      </c>
      <c r="BH44" s="210" t="str">
        <v>N</v>
      </c>
      <c r="BI44" s="210" t="str">
        <v>N</v>
      </c>
      <c r="BJ44" s="210" t="str">
        <v>N</v>
      </c>
      <c r="BK44" s="210" t="str">
        <v>N</v>
      </c>
      <c r="BL44" s="210" t="str">
        <v>N</v>
      </c>
      <c r="BM44" s="210" t="str">
        <v>N</v>
      </c>
      <c r="BN44" s="210" t="str">
        <v>N</v>
      </c>
      <c r="BO44" s="210" t="str">
        <v>N</v>
      </c>
      <c r="BP44" s="210" t="str">
        <v>N</v>
      </c>
      <c r="BQ44" s="210" t="str">
        <v>N</v>
      </c>
      <c r="BR44" s="210" t="str">
        <v>N</v>
      </c>
      <c r="BS44" s="210" t="str">
        <v>N</v>
      </c>
      <c r="BT44" s="210" t="str">
        <v>N</v>
      </c>
      <c r="BU44" s="210" t="str">
        <v>N</v>
      </c>
      <c r="BV44" s="210" t="str">
        <v>N</v>
      </c>
      <c r="BW44" s="210" t="str">
        <v>N</v>
      </c>
      <c r="BX44" s="210" t="str">
        <v>N</v>
      </c>
      <c r="BY44" s="210" t="str">
        <v>N</v>
      </c>
      <c r="BZ44" s="210" t="str">
        <v>N</v>
      </c>
      <c r="CA44" s="210" t="str">
        <v>N</v>
      </c>
      <c r="CB44" s="210" t="str">
        <v>N</v>
      </c>
      <c r="CC44" s="210" t="str">
        <v>N</v>
      </c>
      <c r="CD44" s="210" t="str">
        <v>L</v>
      </c>
      <c r="CE44" s="210" t="str">
        <v>N</v>
      </c>
      <c r="CF44" s="210" t="str">
        <v>N</v>
      </c>
      <c r="CG44" s="210" t="str">
        <v>N</v>
      </c>
      <c r="CH44" s="210" t="str">
        <v>N</v>
      </c>
      <c r="CI44" s="210" t="str">
        <v>N</v>
      </c>
      <c r="CJ44" s="210" t="str">
        <v>N</v>
      </c>
      <c r="CK44" s="210" t="str">
        <v>N</v>
      </c>
      <c r="CL44" s="210" t="str">
        <v>N</v>
      </c>
      <c r="CM44" s="210" t="str">
        <v>N</v>
      </c>
      <c r="CN44" s="210" t="str">
        <v>N</v>
      </c>
      <c r="CO44" s="1" t="str">
        <v>N</v>
      </c>
      <c r="CP44" s="1" t="str">
        <v>N</v>
      </c>
      <c r="CQ44" s="1" t="str">
        <v>N</v>
      </c>
      <c r="CR44" s="1" t="str">
        <v>N</v>
      </c>
    </row>
    <row r="45" spans="2:96">
      <c r="B45" s="101">
        <v>2045</v>
      </c>
      <c r="C45" s="191"/>
      <c r="D45" s="191"/>
      <c r="E45" s="483">
        <f t="shared" si="28"/>
        <v>8.0466666666666742E-2</v>
      </c>
      <c r="F45" s="483">
        <f t="shared" si="29"/>
        <v>9.4234894751639986E-2</v>
      </c>
      <c r="G45" s="69"/>
      <c r="H45" s="47"/>
      <c r="I45" s="70"/>
      <c r="J45" s="1">
        <v>0</v>
      </c>
      <c r="K45" s="220">
        <v>38</v>
      </c>
      <c r="L45" s="218">
        <f t="shared" si="25"/>
        <v>0.69873092476752574</v>
      </c>
      <c r="M45" s="206">
        <f t="shared" si="19"/>
        <v>0.68386140921235583</v>
      </c>
      <c r="N45" s="206">
        <f t="shared" si="20"/>
        <v>0.24512181203911737</v>
      </c>
      <c r="O45" s="206">
        <f t="shared" si="3"/>
        <v>0.47783511487177271</v>
      </c>
      <c r="P45" s="207">
        <f t="shared" si="4"/>
        <v>0.1712741904067841</v>
      </c>
      <c r="Q45" s="218">
        <f t="shared" si="30"/>
        <v>0.31578947368421062</v>
      </c>
      <c r="R45" s="206">
        <f t="shared" si="5"/>
        <v>0</v>
      </c>
      <c r="S45" s="206">
        <f t="shared" si="21"/>
        <v>0.31578947368421062</v>
      </c>
      <c r="T45" s="218" cm="1">
        <f t="array" ref="T45">IF(Q45="", "", IF(Q45&lt;1, 0, SUM(EXP(-0.01*_xlfn.SEQUENCE(1,R45)*K45)*(2-EXP(0.00693*_xlfn.SEQUENCE(1, R45)*K45)))))</f>
        <v>0</v>
      </c>
      <c r="U45" s="206">
        <f t="shared" si="6"/>
        <v>0.15089529943319144</v>
      </c>
      <c r="V45" s="206">
        <f t="shared" si="7"/>
        <v>0.15089529943319144</v>
      </c>
      <c r="W45" s="218" cm="1">
        <f t="array" ref="W45">IF(Q45="", "", IF(Q45&lt;1, 0, SUM(EXP(-0.037*_xlfn.SEQUENCE(1,R45)*K45)*(2-EXP(0.00693*_xlfn.SEQUENCE(1, R45)*K45)))))</f>
        <v>0</v>
      </c>
      <c r="X45" s="206">
        <f t="shared" si="8"/>
        <v>5.4086586444247631E-2</v>
      </c>
      <c r="Y45" s="207">
        <f t="shared" si="22"/>
        <v>5.4086586444247631E-2</v>
      </c>
      <c r="Z45" s="218">
        <f t="shared" si="23"/>
        <v>0.27472079169829472</v>
      </c>
      <c r="AA45" s="218">
        <f t="shared" si="9"/>
        <v>0.13127124105881899</v>
      </c>
      <c r="AB45" s="207">
        <f t="shared" si="10"/>
        <v>4.7052581186036203E-2</v>
      </c>
      <c r="AC45" s="206" cm="1">
        <f t="array" ref="AC45">IF(Q45="", "", IF(Q45&lt;1, 0, SUM(EXP(-0.01*_xlfn.SEQUENCE(1,R45)*K45)*(2-EXP(0.00693*_xlfn.SEQUENCE(1, R45)*K45))*EXP(-0.034*_xlfn.SEQUENCE(1, R45)*K45))))</f>
        <v>0</v>
      </c>
      <c r="AD45" s="206">
        <f t="shared" si="11"/>
        <v>0.15089529943319144</v>
      </c>
      <c r="AE45" s="206">
        <f t="shared" si="12"/>
        <v>0.15089529943319144</v>
      </c>
      <c r="AF45" s="218" cm="1">
        <f t="array" ref="AF45">IF(Q45="", "", IF(Q45&lt;1, 0, SUM(EXP(-0.037*_xlfn.SEQUENCE(1,R45)*K45)*(2-EXP(0.00693*_xlfn.SEQUENCE(1, R45)*K45))*EXP(-0.034*_xlfn.SEQUENCE(1, R45)*K45))))</f>
        <v>0</v>
      </c>
      <c r="AG45" s="206">
        <f t="shared" si="13"/>
        <v>1.4858709848221964E-2</v>
      </c>
      <c r="AH45" s="207">
        <f t="shared" si="14"/>
        <v>1.4858709848221964E-2</v>
      </c>
      <c r="AI45" s="218">
        <f t="shared" si="15"/>
        <v>0.31981902181630395</v>
      </c>
      <c r="AJ45" s="226">
        <f t="shared" si="16"/>
        <v>39</v>
      </c>
      <c r="AK45" s="226">
        <f t="shared" si="17"/>
        <v>11</v>
      </c>
      <c r="AL45" s="206" cm="1">
        <f t="array" ref="AL45">IF(AK45=0, "", SUM(EXP(-0.03*_xlfn.SEQUENCE(1,AK45, AJ45))))</f>
        <v>2.9517291831418504</v>
      </c>
      <c r="AM45" s="210">
        <f t="shared" si="31"/>
        <v>25.286038393779087</v>
      </c>
      <c r="AN45" s="1">
        <f t="shared" si="32"/>
        <v>0.83411439217148398</v>
      </c>
      <c r="AO45" s="210">
        <f t="shared" si="33"/>
        <v>1.4333294145603401</v>
      </c>
      <c r="AP45" s="210">
        <f t="shared" si="24"/>
        <v>104.57711855320176</v>
      </c>
      <c r="AT45" s="210" t="str">
        <v>Y</v>
      </c>
      <c r="AU45" s="210" t="str">
        <v>Y</v>
      </c>
      <c r="AV45" s="210" t="str">
        <v>N</v>
      </c>
      <c r="AW45" s="210" t="str">
        <v>N</v>
      </c>
      <c r="AX45" s="210" t="str">
        <v>N</v>
      </c>
      <c r="AY45" s="210" t="str">
        <v>N</v>
      </c>
      <c r="AZ45" s="210" t="str">
        <v>N</v>
      </c>
      <c r="BA45" s="210" t="str">
        <v>N</v>
      </c>
      <c r="BB45" s="210" t="str">
        <v>N</v>
      </c>
      <c r="BC45" s="210" t="str">
        <v>N</v>
      </c>
      <c r="BD45" s="210" t="str">
        <v>N</v>
      </c>
      <c r="BE45" s="210" t="str">
        <v>N</v>
      </c>
      <c r="BF45" s="210" t="str">
        <v>N</v>
      </c>
      <c r="BG45" s="210" t="str">
        <v>N</v>
      </c>
      <c r="BH45" s="210" t="str">
        <v>N</v>
      </c>
      <c r="BI45" s="210" t="str">
        <v>N</v>
      </c>
      <c r="BJ45" s="210" t="str">
        <v>N</v>
      </c>
      <c r="BK45" s="210" t="str">
        <v>N</v>
      </c>
      <c r="BL45" s="210" t="str">
        <v>L</v>
      </c>
      <c r="BM45" s="210" t="str">
        <v>N</v>
      </c>
      <c r="BN45" s="210" t="str">
        <v>N</v>
      </c>
      <c r="BO45" s="210" t="str">
        <v>N</v>
      </c>
      <c r="BP45" s="210" t="str">
        <v>N</v>
      </c>
      <c r="BQ45" s="210" t="str">
        <v>N</v>
      </c>
      <c r="BR45" s="210" t="str">
        <v>N</v>
      </c>
      <c r="BS45" s="210" t="str">
        <v>N</v>
      </c>
      <c r="BT45" s="210" t="str">
        <v>N</v>
      </c>
      <c r="BU45" s="210" t="str">
        <v>N</v>
      </c>
      <c r="BV45" s="210" t="str">
        <v>N</v>
      </c>
      <c r="BW45" s="210" t="str">
        <v>N</v>
      </c>
      <c r="BX45" s="210" t="str">
        <v>N</v>
      </c>
      <c r="BY45" s="210" t="str">
        <v>N</v>
      </c>
      <c r="BZ45" s="210" t="str">
        <v>N</v>
      </c>
      <c r="CA45" s="210" t="str">
        <v>N</v>
      </c>
      <c r="CB45" s="210" t="str">
        <v>N</v>
      </c>
      <c r="CC45" s="210" t="str">
        <v>N</v>
      </c>
      <c r="CD45" s="210" t="str">
        <v>N</v>
      </c>
      <c r="CE45" s="210" t="str">
        <v>L</v>
      </c>
      <c r="CF45" s="210" t="str">
        <v>N</v>
      </c>
      <c r="CG45" s="210" t="str">
        <v>N</v>
      </c>
      <c r="CH45" s="210" t="str">
        <v>N</v>
      </c>
      <c r="CI45" s="210" t="str">
        <v>N</v>
      </c>
      <c r="CJ45" s="210" t="str">
        <v>N</v>
      </c>
      <c r="CK45" s="210" t="str">
        <v>N</v>
      </c>
      <c r="CL45" s="210" t="str">
        <v>N</v>
      </c>
      <c r="CM45" s="210" t="str">
        <v>N</v>
      </c>
      <c r="CN45" s="210" t="str">
        <v>N</v>
      </c>
      <c r="CO45" s="1" t="str">
        <v>N</v>
      </c>
      <c r="CP45" s="1" t="str">
        <v>N</v>
      </c>
      <c r="CQ45" s="1" t="str">
        <v>N</v>
      </c>
      <c r="CR45" s="1" t="str">
        <v>N</v>
      </c>
    </row>
    <row r="46" spans="2:96">
      <c r="B46" s="101">
        <v>2046</v>
      </c>
      <c r="C46" s="191"/>
      <c r="D46" s="191"/>
      <c r="E46" s="483">
        <f t="shared" si="28"/>
        <v>6.9173333333333364E-2</v>
      </c>
      <c r="F46" s="483">
        <f t="shared" si="29"/>
        <v>9.3297241882231513E-2</v>
      </c>
      <c r="G46" s="69"/>
      <c r="H46" s="47"/>
      <c r="I46" s="70"/>
      <c r="J46" s="1">
        <v>0</v>
      </c>
      <c r="K46" s="220">
        <v>39</v>
      </c>
      <c r="L46" s="218">
        <f t="shared" si="25"/>
        <v>0.68968181111255289</v>
      </c>
      <c r="M46" s="206">
        <f t="shared" si="19"/>
        <v>0.67705687449816465</v>
      </c>
      <c r="N46" s="206">
        <f t="shared" si="20"/>
        <v>0.23621804051561374</v>
      </c>
      <c r="O46" s="206">
        <f t="shared" si="3"/>
        <v>0.46695381143009862</v>
      </c>
      <c r="P46" s="207">
        <f t="shared" si="4"/>
        <v>0.16291528600026689</v>
      </c>
      <c r="Q46" s="218">
        <f t="shared" si="30"/>
        <v>0.28205128205128216</v>
      </c>
      <c r="R46" s="206">
        <f t="shared" si="5"/>
        <v>0</v>
      </c>
      <c r="S46" s="206">
        <f t="shared" si="21"/>
        <v>0.28205128205128216</v>
      </c>
      <c r="T46" s="218" cm="1">
        <f t="array" ref="T46">IF(Q46="", "", IF(Q46&lt;1, 0, SUM(EXP(-0.01*_xlfn.SEQUENCE(1,R46)*K46)*(2-EXP(0.00693*_xlfn.SEQUENCE(1, R46)*K46)))))</f>
        <v>0</v>
      </c>
      <c r="U46" s="206">
        <f t="shared" si="6"/>
        <v>0.13170492117259197</v>
      </c>
      <c r="V46" s="206">
        <f t="shared" si="7"/>
        <v>0.13170492117259197</v>
      </c>
      <c r="W46" s="218" cm="1">
        <f t="array" ref="W46">IF(Q46="", "", IF(Q46&lt;1, 0, SUM(EXP(-0.037*_xlfn.SEQUENCE(1,R46)*K46)*(2-EXP(0.00693*_xlfn.SEQUENCE(1, R46)*K46)))))</f>
        <v>0</v>
      </c>
      <c r="X46" s="206">
        <f t="shared" si="8"/>
        <v>4.5950465282126575E-2</v>
      </c>
      <c r="Y46" s="207">
        <f t="shared" si="22"/>
        <v>4.5950465282126575E-2</v>
      </c>
      <c r="Z46" s="218">
        <f t="shared" si="23"/>
        <v>0.26553728898702778</v>
      </c>
      <c r="AA46" s="218">
        <f t="shared" si="9"/>
        <v>0.12399364916930818</v>
      </c>
      <c r="AB46" s="207">
        <f t="shared" si="10"/>
        <v>4.3260083379057152E-2</v>
      </c>
      <c r="AC46" s="206" cm="1">
        <f t="array" ref="AC46">IF(Q46="", "", IF(Q46&lt;1, 0, SUM(EXP(-0.01*_xlfn.SEQUENCE(1,R46)*K46)*(2-EXP(0.00693*_xlfn.SEQUENCE(1, R46)*K46))*EXP(-0.034*_xlfn.SEQUENCE(1, R46)*K46))))</f>
        <v>0</v>
      </c>
      <c r="AD46" s="206">
        <f t="shared" si="11"/>
        <v>0.13170492117259197</v>
      </c>
      <c r="AE46" s="206">
        <f t="shared" si="12"/>
        <v>0.13170492117259197</v>
      </c>
      <c r="AF46" s="218" cm="1">
        <f t="array" ref="AF46">IF(Q46="", "", IF(Q46&lt;1, 0, SUM(EXP(-0.037*_xlfn.SEQUENCE(1,R46)*K46)*(2-EXP(0.00693*_xlfn.SEQUENCE(1, R46)*K46))*EXP(-0.034*_xlfn.SEQUENCE(1, R46)*K46))))</f>
        <v>0</v>
      </c>
      <c r="AG46" s="206">
        <f t="shared" si="13"/>
        <v>1.2201561978708432E-2</v>
      </c>
      <c r="AH46" s="207">
        <f t="shared" si="14"/>
        <v>1.2201561978708432E-2</v>
      </c>
      <c r="AI46" s="218">
        <f t="shared" si="15"/>
        <v>0.31036694126548503</v>
      </c>
      <c r="AJ46" s="226">
        <f t="shared" si="16"/>
        <v>40</v>
      </c>
      <c r="AK46" s="226">
        <f t="shared" si="17"/>
        <v>10</v>
      </c>
      <c r="AL46" s="206" cm="1">
        <f t="array" ref="AL46">IF(AK46=0, "", SUM(EXP(-0.03*_xlfn.SEQUENCE(1,AK46, AJ46))))</f>
        <v>2.6413622418763651</v>
      </c>
      <c r="AM46" s="210">
        <f t="shared" si="31"/>
        <v>25.286038393779087</v>
      </c>
      <c r="AN46" s="1">
        <f t="shared" si="32"/>
        <v>0.66004739306681559</v>
      </c>
      <c r="AO46" s="210">
        <f t="shared" si="33"/>
        <v>1.3909681284637803</v>
      </c>
      <c r="AP46" s="210">
        <f t="shared" si="24"/>
        <v>105.96808668166554</v>
      </c>
      <c r="AT46" s="210" t="str">
        <v>Y</v>
      </c>
      <c r="AU46" s="210" t="str">
        <v>N</v>
      </c>
      <c r="AV46" s="210" t="str">
        <v>Y</v>
      </c>
      <c r="AW46" s="210" t="str">
        <v>N</v>
      </c>
      <c r="AX46" s="210" t="str">
        <v>N</v>
      </c>
      <c r="AY46" s="210" t="str">
        <v>N</v>
      </c>
      <c r="AZ46" s="210" t="str">
        <v>N</v>
      </c>
      <c r="BA46" s="210" t="str">
        <v>N</v>
      </c>
      <c r="BB46" s="210" t="str">
        <v>N</v>
      </c>
      <c r="BC46" s="210" t="str">
        <v>N</v>
      </c>
      <c r="BD46" s="210" t="str">
        <v>N</v>
      </c>
      <c r="BE46" s="210" t="str">
        <v>N</v>
      </c>
      <c r="BF46" s="210" t="str">
        <v>L</v>
      </c>
      <c r="BG46" s="210" t="str">
        <v>N</v>
      </c>
      <c r="BH46" s="210" t="str">
        <v>N</v>
      </c>
      <c r="BI46" s="210" t="str">
        <v>N</v>
      </c>
      <c r="BJ46" s="210" t="str">
        <v>N</v>
      </c>
      <c r="BK46" s="210" t="str">
        <v>N</v>
      </c>
      <c r="BL46" s="210" t="str">
        <v>N</v>
      </c>
      <c r="BM46" s="210" t="str">
        <v>N</v>
      </c>
      <c r="BN46" s="210" t="str">
        <v>N</v>
      </c>
      <c r="BO46" s="210" t="str">
        <v>N</v>
      </c>
      <c r="BP46" s="210" t="str">
        <v>N</v>
      </c>
      <c r="BQ46" s="210" t="str">
        <v>N</v>
      </c>
      <c r="BR46" s="210" t="str">
        <v>N</v>
      </c>
      <c r="BS46" s="210" t="str">
        <v>N</v>
      </c>
      <c r="BT46" s="210" t="str">
        <v>N</v>
      </c>
      <c r="BU46" s="210" t="str">
        <v>N</v>
      </c>
      <c r="BV46" s="210" t="str">
        <v>N</v>
      </c>
      <c r="BW46" s="210" t="str">
        <v>N</v>
      </c>
      <c r="BX46" s="210" t="str">
        <v>N</v>
      </c>
      <c r="BY46" s="210" t="str">
        <v>N</v>
      </c>
      <c r="BZ46" s="210" t="str">
        <v>N</v>
      </c>
      <c r="CA46" s="210" t="str">
        <v>N</v>
      </c>
      <c r="CB46" s="210" t="str">
        <v>N</v>
      </c>
      <c r="CC46" s="210" t="str">
        <v>N</v>
      </c>
      <c r="CD46" s="210" t="str">
        <v>N</v>
      </c>
      <c r="CE46" s="210" t="str">
        <v>N</v>
      </c>
      <c r="CF46" s="210" t="str">
        <v>L</v>
      </c>
      <c r="CG46" s="210" t="str">
        <v>N</v>
      </c>
      <c r="CH46" s="210" t="str">
        <v>N</v>
      </c>
      <c r="CI46" s="210" t="str">
        <v>N</v>
      </c>
      <c r="CJ46" s="210" t="str">
        <v>N</v>
      </c>
      <c r="CK46" s="210" t="str">
        <v>N</v>
      </c>
      <c r="CL46" s="210" t="str">
        <v>N</v>
      </c>
      <c r="CM46" s="210" t="str">
        <v>N</v>
      </c>
      <c r="CN46" s="210" t="str">
        <v>N</v>
      </c>
      <c r="CO46" s="1" t="str">
        <v>N</v>
      </c>
      <c r="CP46" s="1" t="str">
        <v>N</v>
      </c>
      <c r="CQ46" s="1" t="str">
        <v>N</v>
      </c>
      <c r="CR46" s="1" t="str">
        <v>N</v>
      </c>
    </row>
    <row r="47" spans="2:96">
      <c r="B47" s="101">
        <v>2047</v>
      </c>
      <c r="C47" s="191"/>
      <c r="D47" s="191"/>
      <c r="E47" s="483">
        <f t="shared" si="28"/>
        <v>5.7879999999999987E-2</v>
      </c>
      <c r="F47" s="483">
        <f t="shared" si="29"/>
        <v>9.2368918814759227E-2</v>
      </c>
      <c r="G47" s="69"/>
      <c r="H47" s="47"/>
      <c r="I47" s="70"/>
      <c r="J47" s="1">
        <v>0</v>
      </c>
      <c r="K47" s="220">
        <v>40</v>
      </c>
      <c r="L47" s="218">
        <f t="shared" si="25"/>
        <v>0.68056976930574775</v>
      </c>
      <c r="M47" s="206">
        <f t="shared" si="19"/>
        <v>0.67032004603563933</v>
      </c>
      <c r="N47" s="206">
        <f t="shared" si="20"/>
        <v>0.22763768838381274</v>
      </c>
      <c r="O47" s="206">
        <f t="shared" si="3"/>
        <v>0.45619955909149329</v>
      </c>
      <c r="P47" s="207">
        <f t="shared" si="4"/>
        <v>0.15492332906866513</v>
      </c>
      <c r="Q47" s="218">
        <f t="shared" si="30"/>
        <v>0.25</v>
      </c>
      <c r="R47" s="206">
        <f t="shared" si="5"/>
        <v>0</v>
      </c>
      <c r="S47" s="206">
        <f t="shared" si="21"/>
        <v>0.25</v>
      </c>
      <c r="T47" s="218" cm="1">
        <f t="array" ref="T47">IF(Q47="", "", IF(Q47&lt;1, 0, SUM(EXP(-0.01*_xlfn.SEQUENCE(1,R47)*K47)*(2-EXP(0.00693*_xlfn.SEQUENCE(1, R47)*K47)))))</f>
        <v>0</v>
      </c>
      <c r="U47" s="206">
        <f t="shared" si="6"/>
        <v>0.11404988977287332</v>
      </c>
      <c r="V47" s="206">
        <f t="shared" si="7"/>
        <v>0.11404988977287332</v>
      </c>
      <c r="W47" s="218" cm="1">
        <f t="array" ref="W47">IF(Q47="", "", IF(Q47&lt;1, 0, SUM(EXP(-0.037*_xlfn.SEQUENCE(1,R47)*K47)*(2-EXP(0.00693*_xlfn.SEQUENCE(1, R47)*K47)))))</f>
        <v>0</v>
      </c>
      <c r="X47" s="206">
        <f t="shared" si="8"/>
        <v>3.8730832267166282E-2</v>
      </c>
      <c r="Y47" s="207">
        <f t="shared" si="22"/>
        <v>3.8730832267166282E-2</v>
      </c>
      <c r="Z47" s="218">
        <f t="shared" si="23"/>
        <v>0.25666077695355588</v>
      </c>
      <c r="AA47" s="218">
        <f t="shared" si="9"/>
        <v>0.1170885332822923</v>
      </c>
      <c r="AB47" s="207">
        <f t="shared" si="10"/>
        <v>3.9762742006994999E-2</v>
      </c>
      <c r="AC47" s="206" cm="1">
        <f t="array" ref="AC47">IF(Q47="", "", IF(Q47&lt;1, 0, SUM(EXP(-0.01*_xlfn.SEQUENCE(1,R47)*K47)*(2-EXP(0.00693*_xlfn.SEQUENCE(1, R47)*K47))*EXP(-0.034*_xlfn.SEQUENCE(1, R47)*K47))))</f>
        <v>0</v>
      </c>
      <c r="AD47" s="206">
        <f t="shared" si="11"/>
        <v>0.11404988977287332</v>
      </c>
      <c r="AE47" s="206">
        <f t="shared" si="12"/>
        <v>0.11404988977287332</v>
      </c>
      <c r="AF47" s="218" cm="1">
        <f t="array" ref="AF47">IF(Q47="", "", IF(Q47&lt;1, 0, SUM(EXP(-0.037*_xlfn.SEQUENCE(1,R47)*K47)*(2-EXP(0.00693*_xlfn.SEQUENCE(1, R47)*K47))*EXP(-0.034*_xlfn.SEQUENCE(1, R47)*K47))))</f>
        <v>0</v>
      </c>
      <c r="AG47" s="206">
        <f t="shared" si="13"/>
        <v>9.9406855017487496E-3</v>
      </c>
      <c r="AH47" s="207">
        <f t="shared" si="14"/>
        <v>9.9406855017487496E-3</v>
      </c>
      <c r="AI47" s="218">
        <f t="shared" si="15"/>
        <v>0.30119421191220214</v>
      </c>
      <c r="AJ47" s="226">
        <f t="shared" si="16"/>
        <v>41</v>
      </c>
      <c r="AK47" s="226">
        <f t="shared" si="17"/>
        <v>9</v>
      </c>
      <c r="AL47" s="206" cm="1">
        <f t="array" ref="AL47">IF(AK47=0, "", SUM(EXP(-0.03*_xlfn.SEQUENCE(1,AK47, AJ47))))</f>
        <v>2.3401680299641634</v>
      </c>
      <c r="AM47" s="210">
        <f t="shared" si="31"/>
        <v>25.286038393779087</v>
      </c>
      <c r="AN47" s="1">
        <f t="shared" si="32"/>
        <v>0.5119688630708259</v>
      </c>
      <c r="AO47" s="210">
        <f t="shared" si="33"/>
        <v>1.3498588075760032</v>
      </c>
      <c r="AP47" s="210">
        <f t="shared" si="24"/>
        <v>107.31794548924154</v>
      </c>
      <c r="AT47" s="210" t="str">
        <v>Y</v>
      </c>
      <c r="AU47" s="210" t="str">
        <v>Y</v>
      </c>
      <c r="AV47" s="210" t="str">
        <v>N</v>
      </c>
      <c r="AW47" s="210" t="str">
        <v>Y</v>
      </c>
      <c r="AX47" s="210" t="str">
        <v>Y</v>
      </c>
      <c r="AY47" s="210" t="str">
        <v>N</v>
      </c>
      <c r="AZ47" s="210" t="str">
        <v>N</v>
      </c>
      <c r="BA47" s="210" t="str">
        <v>Y</v>
      </c>
      <c r="BB47" s="210" t="str">
        <v>N</v>
      </c>
      <c r="BC47" s="210" t="str">
        <v>Y</v>
      </c>
      <c r="BD47" s="210" t="str">
        <v>N</v>
      </c>
      <c r="BE47" s="210" t="str">
        <v>N</v>
      </c>
      <c r="BF47" s="210" t="str">
        <v>N</v>
      </c>
      <c r="BG47" s="210" t="str">
        <v>N</v>
      </c>
      <c r="BH47" s="210" t="str">
        <v>N</v>
      </c>
      <c r="BI47" s="210" t="str">
        <v>N</v>
      </c>
      <c r="BJ47" s="210" t="str">
        <v>N</v>
      </c>
      <c r="BK47" s="210" t="str">
        <v>N</v>
      </c>
      <c r="BL47" s="210" t="str">
        <v>N</v>
      </c>
      <c r="BM47" s="210" t="str">
        <v>L</v>
      </c>
      <c r="BN47" s="210" t="str">
        <v>N</v>
      </c>
      <c r="BO47" s="210" t="str">
        <v>N</v>
      </c>
      <c r="BP47" s="210" t="str">
        <v>N</v>
      </c>
      <c r="BQ47" s="210" t="str">
        <v>N</v>
      </c>
      <c r="BR47" s="210" t="str">
        <v>N</v>
      </c>
      <c r="BS47" s="210" t="str">
        <v>N</v>
      </c>
      <c r="BT47" s="210" t="str">
        <v>N</v>
      </c>
      <c r="BU47" s="210" t="str">
        <v>N</v>
      </c>
      <c r="BV47" s="210" t="str">
        <v>N</v>
      </c>
      <c r="BW47" s="210" t="str">
        <v>N</v>
      </c>
      <c r="BX47" s="210" t="str">
        <v>N</v>
      </c>
      <c r="BY47" s="210" t="str">
        <v>N</v>
      </c>
      <c r="BZ47" s="210" t="str">
        <v>N</v>
      </c>
      <c r="CA47" s="210" t="str">
        <v>N</v>
      </c>
      <c r="CB47" s="210" t="str">
        <v>N</v>
      </c>
      <c r="CC47" s="210" t="str">
        <v>N</v>
      </c>
      <c r="CD47" s="210" t="str">
        <v>N</v>
      </c>
      <c r="CE47" s="210" t="str">
        <v>N</v>
      </c>
      <c r="CF47" s="210" t="str">
        <v>N</v>
      </c>
      <c r="CG47" s="210" t="str">
        <v>L</v>
      </c>
      <c r="CH47" s="210" t="str">
        <v>N</v>
      </c>
      <c r="CI47" s="210" t="str">
        <v>N</v>
      </c>
      <c r="CJ47" s="210" t="str">
        <v>N</v>
      </c>
      <c r="CK47" s="210" t="str">
        <v>N</v>
      </c>
      <c r="CL47" s="210" t="str">
        <v>N</v>
      </c>
      <c r="CM47" s="210" t="str">
        <v>N</v>
      </c>
      <c r="CN47" s="210" t="str">
        <v>N</v>
      </c>
      <c r="CO47" s="1" t="str">
        <v>N</v>
      </c>
      <c r="CP47" s="1" t="str">
        <v>N</v>
      </c>
      <c r="CQ47" s="1" t="str">
        <v>N</v>
      </c>
      <c r="CR47" s="1" t="str">
        <v>N</v>
      </c>
    </row>
    <row r="48" spans="2:96">
      <c r="B48" s="101">
        <v>2048</v>
      </c>
      <c r="C48" s="191"/>
      <c r="D48" s="191"/>
      <c r="E48" s="483">
        <f t="shared" si="28"/>
        <v>4.6586666666666665E-2</v>
      </c>
      <c r="F48" s="483">
        <f t="shared" si="29"/>
        <v>9.1449832716142779E-2</v>
      </c>
      <c r="G48" s="69"/>
      <c r="H48" s="47"/>
      <c r="I48" s="70"/>
      <c r="J48" s="1">
        <v>0</v>
      </c>
      <c r="K48" s="220">
        <v>41</v>
      </c>
      <c r="L48" s="218">
        <f t="shared" si="25"/>
        <v>0.67139436174046274</v>
      </c>
      <c r="M48" s="206">
        <f t="shared" si="19"/>
        <v>0.6636502501363194</v>
      </c>
      <c r="N48" s="206">
        <f t="shared" si="20"/>
        <v>0.21936900780150481</v>
      </c>
      <c r="O48" s="206">
        <f t="shared" si="3"/>
        <v>0.44557103610917259</v>
      </c>
      <c r="P48" s="207">
        <f t="shared" si="4"/>
        <v>0.14728311497852992</v>
      </c>
      <c r="Q48" s="218">
        <f t="shared" si="30"/>
        <v>0.21951219512195119</v>
      </c>
      <c r="R48" s="206">
        <f t="shared" si="5"/>
        <v>0</v>
      </c>
      <c r="S48" s="206">
        <f t="shared" si="21"/>
        <v>0.21951219512195119</v>
      </c>
      <c r="T48" s="218" cm="1">
        <f t="array" ref="T48">IF(Q48="", "", IF(Q48&lt;1, 0, SUM(EXP(-0.01*_xlfn.SEQUENCE(1,R48)*K48)*(2-EXP(0.00693*_xlfn.SEQUENCE(1, R48)*K48)))))</f>
        <v>0</v>
      </c>
      <c r="U48" s="206">
        <f t="shared" si="6"/>
        <v>9.7808276219086665E-2</v>
      </c>
      <c r="V48" s="206">
        <f t="shared" si="7"/>
        <v>9.7808276219086665E-2</v>
      </c>
      <c r="W48" s="218" cm="1">
        <f t="array" ref="W48">IF(Q48="", "", IF(Q48&lt;1, 0, SUM(EXP(-0.037*_xlfn.SEQUENCE(1,R48)*K48)*(2-EXP(0.00693*_xlfn.SEQUENCE(1, R48)*K48)))))</f>
        <v>0</v>
      </c>
      <c r="X48" s="206">
        <f t="shared" si="8"/>
        <v>3.233043987333583E-2</v>
      </c>
      <c r="Y48" s="207">
        <f t="shared" si="22"/>
        <v>3.233043987333583E-2</v>
      </c>
      <c r="Z48" s="218">
        <f t="shared" si="23"/>
        <v>0.24808099336142997</v>
      </c>
      <c r="AA48" s="218">
        <f t="shared" si="9"/>
        <v>0.11053770525104512</v>
      </c>
      <c r="AB48" s="207">
        <f t="shared" si="10"/>
        <v>3.6538141469239407E-2</v>
      </c>
      <c r="AC48" s="206" cm="1">
        <f t="array" ref="AC48">IF(Q48="", "", IF(Q48&lt;1, 0, SUM(EXP(-0.01*_xlfn.SEQUENCE(1,R48)*K48)*(2-EXP(0.00693*_xlfn.SEQUENCE(1, R48)*K48))*EXP(-0.034*_xlfn.SEQUENCE(1, R48)*K48))))</f>
        <v>0</v>
      </c>
      <c r="AD48" s="206">
        <f t="shared" si="11"/>
        <v>9.7808276219086665E-2</v>
      </c>
      <c r="AE48" s="206">
        <f t="shared" si="12"/>
        <v>9.7808276219086665E-2</v>
      </c>
      <c r="AF48" s="218" cm="1">
        <f t="array" ref="AF48">IF(Q48="", "", IF(Q48&lt;1, 0, SUM(EXP(-0.037*_xlfn.SEQUENCE(1,R48)*K48)*(2-EXP(0.00693*_xlfn.SEQUENCE(1, R48)*K48))*EXP(-0.034*_xlfn.SEQUENCE(1, R48)*K48))))</f>
        <v>0</v>
      </c>
      <c r="AG48" s="206">
        <f t="shared" si="13"/>
        <v>8.0205676395891361E-3</v>
      </c>
      <c r="AH48" s="207">
        <f t="shared" si="14"/>
        <v>8.0205676395891361E-3</v>
      </c>
      <c r="AI48" s="218">
        <f t="shared" si="15"/>
        <v>0.29229257768085942</v>
      </c>
      <c r="AJ48" s="226">
        <f t="shared" si="16"/>
        <v>42</v>
      </c>
      <c r="AK48" s="226">
        <f t="shared" si="17"/>
        <v>8</v>
      </c>
      <c r="AL48" s="206" cm="1">
        <f t="array" ref="AL48">IF(AK48=0, "", SUM(EXP(-0.03*_xlfn.SEQUENCE(1,AK48, AJ48))))</f>
        <v>2.0478754522833036</v>
      </c>
      <c r="AM48" s="210">
        <f t="shared" si="31"/>
        <v>25.286038393779087</v>
      </c>
      <c r="AN48" s="1">
        <f t="shared" si="32"/>
        <v>0.38726811785492193</v>
      </c>
      <c r="AO48" s="210">
        <f t="shared" si="33"/>
        <v>1.3099644507332473</v>
      </c>
      <c r="AP48" s="210">
        <f t="shared" si="24"/>
        <v>108.62790993997478</v>
      </c>
      <c r="AT48" s="210" t="str">
        <v>Y</v>
      </c>
      <c r="AU48" s="210" t="str">
        <v>N</v>
      </c>
      <c r="AV48" s="210" t="str">
        <v>N</v>
      </c>
      <c r="AW48" s="210" t="str">
        <v>N</v>
      </c>
      <c r="AX48" s="210" t="str">
        <v>N</v>
      </c>
      <c r="AY48" s="210" t="str">
        <v>N</v>
      </c>
      <c r="AZ48" s="210" t="str">
        <v>N</v>
      </c>
      <c r="BA48" s="210" t="str">
        <v>N</v>
      </c>
      <c r="BB48" s="210" t="str">
        <v>N</v>
      </c>
      <c r="BC48" s="210" t="str">
        <v>N</v>
      </c>
      <c r="BD48" s="210" t="str">
        <v>N</v>
      </c>
      <c r="BE48" s="210" t="str">
        <v>N</v>
      </c>
      <c r="BF48" s="210" t="str">
        <v>N</v>
      </c>
      <c r="BG48" s="210" t="str">
        <v>N</v>
      </c>
      <c r="BH48" s="210" t="str">
        <v>N</v>
      </c>
      <c r="BI48" s="210" t="str">
        <v>N</v>
      </c>
      <c r="BJ48" s="210" t="str">
        <v>N</v>
      </c>
      <c r="BK48" s="210" t="str">
        <v>N</v>
      </c>
      <c r="BL48" s="210" t="str">
        <v>N</v>
      </c>
      <c r="BM48" s="210" t="str">
        <v>N</v>
      </c>
      <c r="BN48" s="210" t="str">
        <v>N</v>
      </c>
      <c r="BO48" s="210" t="str">
        <v>N</v>
      </c>
      <c r="BP48" s="210" t="str">
        <v>N</v>
      </c>
      <c r="BQ48" s="210" t="str">
        <v>N</v>
      </c>
      <c r="BR48" s="210" t="str">
        <v>N</v>
      </c>
      <c r="BS48" s="210" t="str">
        <v>N</v>
      </c>
      <c r="BT48" s="210" t="str">
        <v>N</v>
      </c>
      <c r="BU48" s="210" t="str">
        <v>N</v>
      </c>
      <c r="BV48" s="210" t="str">
        <v>N</v>
      </c>
      <c r="BW48" s="210" t="str">
        <v>N</v>
      </c>
      <c r="BX48" s="210" t="str">
        <v>N</v>
      </c>
      <c r="BY48" s="210" t="str">
        <v>N</v>
      </c>
      <c r="BZ48" s="210" t="str">
        <v>N</v>
      </c>
      <c r="CA48" s="210" t="str">
        <v>N</v>
      </c>
      <c r="CB48" s="210" t="str">
        <v>N</v>
      </c>
      <c r="CC48" s="210" t="str">
        <v>N</v>
      </c>
      <c r="CD48" s="210" t="str">
        <v>N</v>
      </c>
      <c r="CE48" s="210" t="str">
        <v>N</v>
      </c>
      <c r="CF48" s="210" t="str">
        <v>N</v>
      </c>
      <c r="CG48" s="210" t="str">
        <v>N</v>
      </c>
      <c r="CH48" s="210" t="str">
        <v>L</v>
      </c>
      <c r="CI48" s="210" t="str">
        <v>N</v>
      </c>
      <c r="CJ48" s="210" t="str">
        <v>N</v>
      </c>
      <c r="CK48" s="210" t="str">
        <v>N</v>
      </c>
      <c r="CL48" s="210" t="str">
        <v>N</v>
      </c>
      <c r="CM48" s="210" t="str">
        <v>N</v>
      </c>
      <c r="CN48" s="210" t="str">
        <v>N</v>
      </c>
      <c r="CO48" s="1" t="str">
        <v>N</v>
      </c>
      <c r="CP48" s="1" t="str">
        <v>N</v>
      </c>
      <c r="CQ48" s="1" t="str">
        <v>N</v>
      </c>
      <c r="CR48" s="1" t="str">
        <v>N</v>
      </c>
    </row>
    <row r="49" spans="2:96">
      <c r="B49" s="101">
        <v>2049</v>
      </c>
      <c r="C49" s="191"/>
      <c r="D49" s="191"/>
      <c r="E49" s="483">
        <f t="shared" si="28"/>
        <v>3.5293333333333399E-2</v>
      </c>
      <c r="F49" s="483">
        <f t="shared" si="29"/>
        <v>9.0539891677006393E-2</v>
      </c>
      <c r="G49" s="69"/>
      <c r="H49" s="47"/>
      <c r="I49" s="70"/>
      <c r="J49" s="1">
        <v>0</v>
      </c>
      <c r="K49" s="220">
        <v>42</v>
      </c>
      <c r="L49" s="218">
        <f t="shared" si="25"/>
        <v>0.66215514776690343</v>
      </c>
      <c r="M49" s="206">
        <f t="shared" si="19"/>
        <v>0.65704681981505675</v>
      </c>
      <c r="N49" s="206">
        <f t="shared" si="20"/>
        <v>0.2114006776535105</v>
      </c>
      <c r="O49" s="206">
        <f t="shared" si="3"/>
        <v>0.43506693406441288</v>
      </c>
      <c r="P49" s="207">
        <f t="shared" si="4"/>
        <v>0.13998004694968377</v>
      </c>
      <c r="Q49" s="218">
        <f t="shared" si="30"/>
        <v>0.19047619047619047</v>
      </c>
      <c r="R49" s="206">
        <f t="shared" si="5"/>
        <v>0</v>
      </c>
      <c r="S49" s="206">
        <f t="shared" si="21"/>
        <v>0.19047619047619047</v>
      </c>
      <c r="T49" s="218" cm="1">
        <f t="array" ref="T49">IF(Q49="", "", IF(Q49&lt;1, 0, SUM(EXP(-0.01*_xlfn.SEQUENCE(1,R49)*K49)*(2-EXP(0.00693*_xlfn.SEQUENCE(1, R49)*K49)))))</f>
        <v>0</v>
      </c>
      <c r="U49" s="206">
        <f t="shared" si="6"/>
        <v>8.2869892202745307E-2</v>
      </c>
      <c r="V49" s="206">
        <f t="shared" si="7"/>
        <v>8.2869892202745307E-2</v>
      </c>
      <c r="W49" s="218" cm="1">
        <f t="array" ref="W49">IF(Q49="", "", IF(Q49&lt;1, 0, SUM(EXP(-0.037*_xlfn.SEQUENCE(1,R49)*K49)*(2-EXP(0.00693*_xlfn.SEQUENCE(1, R49)*K49)))))</f>
        <v>0</v>
      </c>
      <c r="X49" s="206">
        <f t="shared" si="8"/>
        <v>2.666286608565405E-2</v>
      </c>
      <c r="Y49" s="207">
        <f t="shared" si="22"/>
        <v>2.666286608565405E-2</v>
      </c>
      <c r="Z49" s="218">
        <f t="shared" si="23"/>
        <v>0.23978801902532465</v>
      </c>
      <c r="AA49" s="218">
        <f t="shared" si="9"/>
        <v>0.10432383826272711</v>
      </c>
      <c r="AB49" s="207">
        <f t="shared" si="10"/>
        <v>3.356553816113661E-2</v>
      </c>
      <c r="AC49" s="206" cm="1">
        <f t="array" ref="AC49">IF(Q49="", "", IF(Q49&lt;1, 0, SUM(EXP(-0.01*_xlfn.SEQUENCE(1,R49)*K49)*(2-EXP(0.00693*_xlfn.SEQUENCE(1, R49)*K49))*EXP(-0.034*_xlfn.SEQUENCE(1, R49)*K49))))</f>
        <v>0</v>
      </c>
      <c r="AD49" s="206">
        <f t="shared" si="11"/>
        <v>8.2869892202745307E-2</v>
      </c>
      <c r="AE49" s="206">
        <f t="shared" si="12"/>
        <v>8.2869892202745307E-2</v>
      </c>
      <c r="AF49" s="218" cm="1">
        <f t="array" ref="AF49">IF(Q49="", "", IF(Q49&lt;1, 0, SUM(EXP(-0.037*_xlfn.SEQUENCE(1,R49)*K49)*(2-EXP(0.00693*_xlfn.SEQUENCE(1, R49)*K49))*EXP(-0.034*_xlfn.SEQUENCE(1, R49)*K49))))</f>
        <v>0</v>
      </c>
      <c r="AG49" s="206">
        <f t="shared" si="13"/>
        <v>6.3934358402164965E-3</v>
      </c>
      <c r="AH49" s="207">
        <f t="shared" si="14"/>
        <v>6.3934358402164965E-3</v>
      </c>
      <c r="AI49" s="218">
        <f t="shared" si="15"/>
        <v>0.2836540264997704</v>
      </c>
      <c r="AJ49" s="226">
        <f t="shared" si="16"/>
        <v>43</v>
      </c>
      <c r="AK49" s="226">
        <f t="shared" si="17"/>
        <v>7</v>
      </c>
      <c r="AL49" s="206" cm="1">
        <f t="array" ref="AL49">IF(AK49=0, "", SUM(EXP(-0.03*_xlfn.SEQUENCE(1,AK49, AJ49))))</f>
        <v>1.7642214257835336</v>
      </c>
      <c r="AM49" s="210">
        <f t="shared" si="31"/>
        <v>25.286038393779087</v>
      </c>
      <c r="AN49" s="1">
        <f t="shared" si="32"/>
        <v>0.28360964622738688</v>
      </c>
      <c r="AO49" s="210">
        <f t="shared" si="33"/>
        <v>1.2712491503214047</v>
      </c>
      <c r="AP49" s="210">
        <f t="shared" si="24"/>
        <v>109.89915909029619</v>
      </c>
      <c r="AT49" s="210" t="str">
        <v>Y</v>
      </c>
      <c r="AU49" s="210" t="str">
        <v>Y</v>
      </c>
      <c r="AV49" s="210" t="str">
        <v>Y</v>
      </c>
      <c r="AW49" s="210" t="str">
        <v>N</v>
      </c>
      <c r="AX49" s="210" t="str">
        <v>N</v>
      </c>
      <c r="AY49" s="210" t="str">
        <v>Y</v>
      </c>
      <c r="AZ49" s="210" t="str">
        <v>Y</v>
      </c>
      <c r="BA49" s="210" t="str">
        <v>N</v>
      </c>
      <c r="BB49" s="210" t="str">
        <v>N</v>
      </c>
      <c r="BC49" s="210" t="str">
        <v>N</v>
      </c>
      <c r="BD49" s="210" t="str">
        <v>N</v>
      </c>
      <c r="BE49" s="210" t="str">
        <v>N</v>
      </c>
      <c r="BF49" s="210" t="str">
        <v>N</v>
      </c>
      <c r="BG49" s="210" t="str">
        <v>L</v>
      </c>
      <c r="BH49" s="210" t="str">
        <v>N</v>
      </c>
      <c r="BI49" s="210" t="str">
        <v>N</v>
      </c>
      <c r="BJ49" s="210" t="str">
        <v>N</v>
      </c>
      <c r="BK49" s="210" t="str">
        <v>N</v>
      </c>
      <c r="BL49" s="210" t="str">
        <v>N</v>
      </c>
      <c r="BM49" s="210" t="str">
        <v>N</v>
      </c>
      <c r="BN49" s="210" t="str">
        <v>L</v>
      </c>
      <c r="BO49" s="210" t="str">
        <v>N</v>
      </c>
      <c r="BP49" s="210" t="str">
        <v>N</v>
      </c>
      <c r="BQ49" s="210" t="str">
        <v>N</v>
      </c>
      <c r="BR49" s="210" t="str">
        <v>N</v>
      </c>
      <c r="BS49" s="210" t="str">
        <v>N</v>
      </c>
      <c r="BT49" s="210" t="str">
        <v>N</v>
      </c>
      <c r="BU49" s="210" t="str">
        <v>N</v>
      </c>
      <c r="BV49" s="210" t="str">
        <v>N</v>
      </c>
      <c r="BW49" s="210" t="str">
        <v>N</v>
      </c>
      <c r="BX49" s="210" t="str">
        <v>N</v>
      </c>
      <c r="BY49" s="210" t="str">
        <v>N</v>
      </c>
      <c r="BZ49" s="210" t="str">
        <v>N</v>
      </c>
      <c r="CA49" s="210" t="str">
        <v>N</v>
      </c>
      <c r="CB49" s="210" t="str">
        <v>N</v>
      </c>
      <c r="CC49" s="210" t="str">
        <v>N</v>
      </c>
      <c r="CD49" s="210" t="str">
        <v>N</v>
      </c>
      <c r="CE49" s="210" t="str">
        <v>N</v>
      </c>
      <c r="CF49" s="210" t="str">
        <v>N</v>
      </c>
      <c r="CG49" s="210" t="str">
        <v>N</v>
      </c>
      <c r="CH49" s="210" t="str">
        <v>N</v>
      </c>
      <c r="CI49" s="210" t="str">
        <v>L</v>
      </c>
      <c r="CJ49" s="210" t="str">
        <v>N</v>
      </c>
      <c r="CK49" s="210" t="str">
        <v>N</v>
      </c>
      <c r="CL49" s="210" t="str">
        <v>N</v>
      </c>
      <c r="CM49" s="210" t="str">
        <v>N</v>
      </c>
      <c r="CN49" s="210" t="str">
        <v>N</v>
      </c>
      <c r="CO49" s="1" t="str">
        <v>N</v>
      </c>
      <c r="CP49" s="1" t="str">
        <v>N</v>
      </c>
      <c r="CQ49" s="1" t="str">
        <v>N</v>
      </c>
      <c r="CR49" s="1" t="str">
        <v>N</v>
      </c>
    </row>
    <row r="50" spans="2:96">
      <c r="B50" s="101">
        <v>2050</v>
      </c>
      <c r="C50" s="191"/>
      <c r="D50" s="191"/>
      <c r="E50" s="486">
        <v>2.4E-2</v>
      </c>
      <c r="F50" s="483">
        <f t="shared" si="29"/>
        <v>8.9639004702487854E-2</v>
      </c>
      <c r="G50" s="69"/>
      <c r="H50" s="47"/>
      <c r="I50" s="70"/>
      <c r="J50" s="1">
        <v>0</v>
      </c>
      <c r="K50" s="220">
        <v>43</v>
      </c>
      <c r="L50" s="218">
        <f t="shared" si="25"/>
        <v>0.6528516836709668</v>
      </c>
      <c r="M50" s="206">
        <f t="shared" si="19"/>
        <v>0.65050909472331653</v>
      </c>
      <c r="N50" s="206">
        <f t="shared" si="20"/>
        <v>0.203721788051306</v>
      </c>
      <c r="O50" s="206">
        <f t="shared" si="3"/>
        <v>0.42468595773339363</v>
      </c>
      <c r="P50" s="207">
        <f t="shared" si="4"/>
        <v>0.13300011232975498</v>
      </c>
      <c r="Q50" s="218">
        <f t="shared" si="30"/>
        <v>0.16279069767441867</v>
      </c>
      <c r="R50" s="206">
        <f t="shared" si="5"/>
        <v>0</v>
      </c>
      <c r="S50" s="206">
        <f t="shared" si="21"/>
        <v>0.16279069767441867</v>
      </c>
      <c r="T50" s="218" cm="1">
        <f t="array" ref="T50">IF(Q50="", "", IF(Q50&lt;1, 0, SUM(EXP(-0.01*_xlfn.SEQUENCE(1,R50)*K50)*(2-EXP(0.00693*_xlfn.SEQUENCE(1, R50)*K50)))))</f>
        <v>0</v>
      </c>
      <c r="U50" s="206">
        <f t="shared" si="6"/>
        <v>6.9134923351947833E-2</v>
      </c>
      <c r="V50" s="206">
        <f t="shared" si="7"/>
        <v>6.9134923351947833E-2</v>
      </c>
      <c r="W50" s="218" cm="1">
        <f t="array" ref="W50">IF(Q50="", "", IF(Q50&lt;1, 0, SUM(EXP(-0.037*_xlfn.SEQUENCE(1,R50)*K50)*(2-EXP(0.00693*_xlfn.SEQUENCE(1, R50)*K50)))))</f>
        <v>0</v>
      </c>
      <c r="X50" s="206">
        <f t="shared" si="8"/>
        <v>2.1651181076936865E-2</v>
      </c>
      <c r="Y50" s="207">
        <f t="shared" si="22"/>
        <v>2.1651181076936865E-2</v>
      </c>
      <c r="Z50" s="218">
        <f t="shared" si="23"/>
        <v>0.23177226634335513</v>
      </c>
      <c r="AA50" s="218">
        <f t="shared" si="9"/>
        <v>9.843042690806697E-2</v>
      </c>
      <c r="AB50" s="207">
        <f t="shared" si="10"/>
        <v>3.0825737458588121E-2</v>
      </c>
      <c r="AC50" s="206" cm="1">
        <f t="array" ref="AC50">IF(Q50="", "", IF(Q50&lt;1, 0, SUM(EXP(-0.01*_xlfn.SEQUENCE(1,R50)*K50)*(2-EXP(0.00693*_xlfn.SEQUENCE(1, R50)*K50))*EXP(-0.034*_xlfn.SEQUENCE(1, R50)*K50))))</f>
        <v>0</v>
      </c>
      <c r="AD50" s="206">
        <f t="shared" si="11"/>
        <v>6.9134923351947833E-2</v>
      </c>
      <c r="AE50" s="206">
        <f t="shared" si="12"/>
        <v>6.9134923351947833E-2</v>
      </c>
      <c r="AF50" s="218" cm="1">
        <f t="array" ref="AF50">IF(Q50="", "", IF(Q50&lt;1, 0, SUM(EXP(-0.037*_xlfn.SEQUENCE(1,R50)*K50)*(2-EXP(0.00693*_xlfn.SEQUENCE(1, R50)*K50))*EXP(-0.034*_xlfn.SEQUENCE(1, R50)*K50))))</f>
        <v>0</v>
      </c>
      <c r="AG50" s="206">
        <f t="shared" si="13"/>
        <v>5.0181433072120215E-3</v>
      </c>
      <c r="AH50" s="207">
        <f t="shared" si="14"/>
        <v>5.0181433072120215E-3</v>
      </c>
      <c r="AI50" s="218">
        <f t="shared" si="15"/>
        <v>0.27527078308975234</v>
      </c>
      <c r="AJ50" s="226">
        <f t="shared" si="16"/>
        <v>44</v>
      </c>
      <c r="AK50" s="226">
        <f t="shared" si="17"/>
        <v>6</v>
      </c>
      <c r="AL50" s="206" cm="1">
        <f t="array" ref="AL50">IF(AK50=0, "", SUM(EXP(-0.03*_xlfn.SEQUENCE(1,AK50, AJ50))))</f>
        <v>1.4889506426937811</v>
      </c>
      <c r="AM50" s="210">
        <f t="shared" si="31"/>
        <v>25.286038393779087</v>
      </c>
      <c r="AN50" s="1">
        <f t="shared" si="32"/>
        <v>0.19890017174640742</v>
      </c>
      <c r="AO50" s="210">
        <f t="shared" si="33"/>
        <v>1.2336780599567432</v>
      </c>
      <c r="AP50" s="210">
        <f t="shared" si="24"/>
        <v>111.13283715025294</v>
      </c>
      <c r="AT50" s="210" t="str">
        <v>Y</v>
      </c>
      <c r="AU50" s="210" t="str">
        <v>N</v>
      </c>
      <c r="AV50" s="210" t="str">
        <v>N</v>
      </c>
      <c r="AW50" s="210" t="str">
        <v>N</v>
      </c>
      <c r="AX50" s="210" t="str">
        <v>N</v>
      </c>
      <c r="AY50" s="210" t="str">
        <v>N</v>
      </c>
      <c r="AZ50" s="210" t="str">
        <v>N</v>
      </c>
      <c r="BA50" s="210" t="str">
        <v>N</v>
      </c>
      <c r="BB50" s="210" t="str">
        <v>N</v>
      </c>
      <c r="BC50" s="210" t="str">
        <v>N</v>
      </c>
      <c r="BD50" s="210" t="str">
        <v>N</v>
      </c>
      <c r="BE50" s="210" t="str">
        <v>N</v>
      </c>
      <c r="BF50" s="210" t="str">
        <v>N</v>
      </c>
      <c r="BG50" s="210" t="str">
        <v>N</v>
      </c>
      <c r="BH50" s="210" t="str">
        <v>N</v>
      </c>
      <c r="BI50" s="210" t="str">
        <v>N</v>
      </c>
      <c r="BJ50" s="210" t="str">
        <v>N</v>
      </c>
      <c r="BK50" s="210" t="str">
        <v>N</v>
      </c>
      <c r="BL50" s="210" t="str">
        <v>N</v>
      </c>
      <c r="BM50" s="210" t="str">
        <v>N</v>
      </c>
      <c r="BN50" s="210" t="str">
        <v>N</v>
      </c>
      <c r="BO50" s="210" t="str">
        <v>N</v>
      </c>
      <c r="BP50" s="210" t="str">
        <v>N</v>
      </c>
      <c r="BQ50" s="210" t="str">
        <v>N</v>
      </c>
      <c r="BR50" s="210" t="str">
        <v>N</v>
      </c>
      <c r="BS50" s="210" t="str">
        <v>N</v>
      </c>
      <c r="BT50" s="210" t="str">
        <v>N</v>
      </c>
      <c r="BU50" s="210" t="str">
        <v>N</v>
      </c>
      <c r="BV50" s="210" t="str">
        <v>N</v>
      </c>
      <c r="BW50" s="210" t="str">
        <v>N</v>
      </c>
      <c r="BX50" s="210" t="str">
        <v>N</v>
      </c>
      <c r="BY50" s="210" t="str">
        <v>N</v>
      </c>
      <c r="BZ50" s="210" t="str">
        <v>N</v>
      </c>
      <c r="CA50" s="210" t="str">
        <v>N</v>
      </c>
      <c r="CB50" s="210" t="str">
        <v>N</v>
      </c>
      <c r="CC50" s="210" t="str">
        <v>N</v>
      </c>
      <c r="CD50" s="210" t="str">
        <v>N</v>
      </c>
      <c r="CE50" s="210" t="str">
        <v>N</v>
      </c>
      <c r="CF50" s="210" t="str">
        <v>N</v>
      </c>
      <c r="CG50" s="210" t="str">
        <v>N</v>
      </c>
      <c r="CH50" s="210" t="str">
        <v>N</v>
      </c>
      <c r="CI50" s="210" t="str">
        <v>N</v>
      </c>
      <c r="CJ50" s="210" t="str">
        <v>L</v>
      </c>
      <c r="CK50" s="210" t="str">
        <v>N</v>
      </c>
      <c r="CL50" s="210" t="str">
        <v>N</v>
      </c>
      <c r="CM50" s="210" t="str">
        <v>N</v>
      </c>
      <c r="CN50" s="210" t="str">
        <v>N</v>
      </c>
      <c r="CO50" s="1" t="str">
        <v>N</v>
      </c>
      <c r="CP50" s="1" t="str">
        <v>N</v>
      </c>
      <c r="CQ50" s="1" t="str">
        <v>N</v>
      </c>
      <c r="CR50" s="1" t="str">
        <v>N</v>
      </c>
    </row>
    <row r="51" spans="2:96">
      <c r="B51" s="101">
        <v>2051</v>
      </c>
      <c r="C51" s="191"/>
      <c r="D51" s="191"/>
      <c r="E51" s="483">
        <f>E50</f>
        <v>2.4E-2</v>
      </c>
      <c r="F51" s="483">
        <f t="shared" si="29"/>
        <v>8.8747081703138997E-2</v>
      </c>
      <c r="G51" s="69"/>
      <c r="H51" s="47"/>
      <c r="I51" s="70"/>
      <c r="J51" s="1">
        <v>0</v>
      </c>
      <c r="K51" s="220">
        <v>44</v>
      </c>
      <c r="L51" s="218">
        <f t="shared" si="25"/>
        <v>0.64348352265293207</v>
      </c>
      <c r="M51" s="206">
        <f t="shared" si="19"/>
        <v>0.64403642108314141</v>
      </c>
      <c r="N51" s="206">
        <f t="shared" si="20"/>
        <v>0.19632182539568155</v>
      </c>
      <c r="O51" s="206">
        <f t="shared" si="3"/>
        <v>0.41442682495536692</v>
      </c>
      <c r="P51" s="207">
        <f t="shared" si="4"/>
        <v>0.12632985977926703</v>
      </c>
      <c r="Q51" s="218">
        <f t="shared" si="30"/>
        <v>0.13636363636363646</v>
      </c>
      <c r="R51" s="206">
        <f t="shared" si="5"/>
        <v>0</v>
      </c>
      <c r="S51" s="206">
        <f t="shared" si="21"/>
        <v>0.13636363636363646</v>
      </c>
      <c r="T51" s="218" cm="1">
        <f t="array" ref="T51">IF(Q51="", "", IF(Q51&lt;1, 0, SUM(EXP(-0.01*_xlfn.SEQUENCE(1,R51)*K51)*(2-EXP(0.00693*_xlfn.SEQUENCE(1, R51)*K51)))))</f>
        <v>0</v>
      </c>
      <c r="U51" s="206">
        <f t="shared" si="6"/>
        <v>5.6512748857550081E-2</v>
      </c>
      <c r="V51" s="206">
        <f t="shared" si="7"/>
        <v>5.6512748857550081E-2</v>
      </c>
      <c r="W51" s="218" cm="1">
        <f t="array" ref="W51">IF(Q51="", "", IF(Q51&lt;1, 0, SUM(EXP(-0.037*_xlfn.SEQUENCE(1,R51)*K51)*(2-EXP(0.00693*_xlfn.SEQUENCE(1, R51)*K51)))))</f>
        <v>0</v>
      </c>
      <c r="X51" s="206">
        <f t="shared" si="8"/>
        <v>1.7226799060809154E-2</v>
      </c>
      <c r="Y51" s="207">
        <f t="shared" si="22"/>
        <v>1.7226799060809154E-2</v>
      </c>
      <c r="Z51" s="218">
        <f t="shared" si="23"/>
        <v>0.22402446821274175</v>
      </c>
      <c r="AA51" s="218">
        <f t="shared" si="9"/>
        <v>9.2841749073721086E-2</v>
      </c>
      <c r="AB51" s="207">
        <f t="shared" si="10"/>
        <v>2.8300979656440527E-2</v>
      </c>
      <c r="AC51" s="206" cm="1">
        <f t="array" ref="AC51">IF(Q51="", "", IF(Q51&lt;1, 0, SUM(EXP(-0.01*_xlfn.SEQUENCE(1,R51)*K51)*(2-EXP(0.00693*_xlfn.SEQUENCE(1, R51)*K51))*EXP(-0.034*_xlfn.SEQUENCE(1, R51)*K51))))</f>
        <v>0</v>
      </c>
      <c r="AD51" s="206">
        <f t="shared" si="11"/>
        <v>5.6512748857550081E-2</v>
      </c>
      <c r="AE51" s="206">
        <f t="shared" si="12"/>
        <v>5.6512748857550081E-2</v>
      </c>
      <c r="AF51" s="218" cm="1">
        <f t="array" ref="AF51">IF(Q51="", "", IF(Q51&lt;1, 0, SUM(EXP(-0.037*_xlfn.SEQUENCE(1,R51)*K51)*(2-EXP(0.00693*_xlfn.SEQUENCE(1, R51)*K51))*EXP(-0.034*_xlfn.SEQUENCE(1, R51)*K51))))</f>
        <v>0</v>
      </c>
      <c r="AG51" s="206">
        <f t="shared" si="13"/>
        <v>3.8592244986055298E-3</v>
      </c>
      <c r="AH51" s="207">
        <f t="shared" si="14"/>
        <v>3.8592244986055298E-3</v>
      </c>
      <c r="AI51" s="218">
        <f t="shared" si="15"/>
        <v>0.26713530196585039</v>
      </c>
      <c r="AJ51" s="226">
        <f t="shared" si="16"/>
        <v>45</v>
      </c>
      <c r="AK51" s="226">
        <f t="shared" si="17"/>
        <v>5</v>
      </c>
      <c r="AL51" s="206" cm="1">
        <f t="array" ref="AL51">IF(AK51=0, "", SUM(EXP(-0.03*_xlfn.SEQUENCE(1,AK51, AJ51))))</f>
        <v>1.2218153407279309</v>
      </c>
      <c r="AM51" s="210">
        <f t="shared" si="31"/>
        <v>25.286038393779087</v>
      </c>
      <c r="AN51" s="1">
        <f t="shared" si="32"/>
        <v>0.13126023819300545</v>
      </c>
      <c r="AO51" s="210">
        <f t="shared" si="33"/>
        <v>1.1972173631218102</v>
      </c>
      <c r="AP51" s="210">
        <f t="shared" si="24"/>
        <v>112.33005451337475</v>
      </c>
      <c r="AT51" s="210" t="str">
        <v>Y</v>
      </c>
      <c r="AU51" s="210" t="str">
        <v>Y</v>
      </c>
      <c r="AV51" s="210" t="str">
        <v>N</v>
      </c>
      <c r="AW51" s="210" t="str">
        <v>Y</v>
      </c>
      <c r="AX51" s="210" t="str">
        <v>N</v>
      </c>
      <c r="AY51" s="210" t="str">
        <v>N</v>
      </c>
      <c r="AZ51" s="210" t="str">
        <v>N</v>
      </c>
      <c r="BA51" s="210" t="str">
        <v>N</v>
      </c>
      <c r="BB51" s="210" t="str">
        <v>N</v>
      </c>
      <c r="BC51" s="210" t="str">
        <v>N</v>
      </c>
      <c r="BD51" s="210" t="str">
        <v>L</v>
      </c>
      <c r="BE51" s="210" t="str">
        <v>N</v>
      </c>
      <c r="BF51" s="210" t="str">
        <v>N</v>
      </c>
      <c r="BG51" s="210" t="str">
        <v>N</v>
      </c>
      <c r="BH51" s="210" t="str">
        <v>N</v>
      </c>
      <c r="BI51" s="210" t="str">
        <v>N</v>
      </c>
      <c r="BJ51" s="210" t="str">
        <v>N</v>
      </c>
      <c r="BK51" s="210" t="str">
        <v>N</v>
      </c>
      <c r="BL51" s="210" t="str">
        <v>N</v>
      </c>
      <c r="BM51" s="210" t="str">
        <v>N</v>
      </c>
      <c r="BN51" s="210" t="str">
        <v>N</v>
      </c>
      <c r="BO51" s="210" t="str">
        <v>L</v>
      </c>
      <c r="BP51" s="210" t="str">
        <v>N</v>
      </c>
      <c r="BQ51" s="210" t="str">
        <v>N</v>
      </c>
      <c r="BR51" s="210" t="str">
        <v>N</v>
      </c>
      <c r="BS51" s="210" t="str">
        <v>N</v>
      </c>
      <c r="BT51" s="210" t="str">
        <v>N</v>
      </c>
      <c r="BU51" s="210" t="str">
        <v>N</v>
      </c>
      <c r="BV51" s="210" t="str">
        <v>N</v>
      </c>
      <c r="BW51" s="210" t="str">
        <v>N</v>
      </c>
      <c r="BX51" s="210" t="str">
        <v>N</v>
      </c>
      <c r="BY51" s="210" t="str">
        <v>N</v>
      </c>
      <c r="BZ51" s="210" t="str">
        <v>N</v>
      </c>
      <c r="CA51" s="210" t="str">
        <v>N</v>
      </c>
      <c r="CB51" s="210" t="str">
        <v>N</v>
      </c>
      <c r="CC51" s="210" t="str">
        <v>N</v>
      </c>
      <c r="CD51" s="210" t="str">
        <v>N</v>
      </c>
      <c r="CE51" s="210" t="str">
        <v>N</v>
      </c>
      <c r="CF51" s="210" t="str">
        <v>N</v>
      </c>
      <c r="CG51" s="210" t="str">
        <v>N</v>
      </c>
      <c r="CH51" s="210" t="str">
        <v>N</v>
      </c>
      <c r="CI51" s="210" t="str">
        <v>N</v>
      </c>
      <c r="CJ51" s="210" t="str">
        <v>N</v>
      </c>
      <c r="CK51" s="210" t="str">
        <v>L</v>
      </c>
      <c r="CL51" s="210" t="str">
        <v>N</v>
      </c>
      <c r="CM51" s="210" t="str">
        <v>N</v>
      </c>
      <c r="CN51" s="210" t="str">
        <v>N</v>
      </c>
      <c r="CO51" s="1" t="str">
        <v>N</v>
      </c>
      <c r="CP51" s="1" t="str">
        <v>N</v>
      </c>
      <c r="CQ51" s="1" t="str">
        <v>N</v>
      </c>
      <c r="CR51" s="1" t="str">
        <v>N</v>
      </c>
    </row>
    <row r="52" spans="2:96">
      <c r="B52" s="101">
        <v>2052</v>
      </c>
      <c r="C52" s="191"/>
      <c r="D52" s="191"/>
      <c r="E52" s="483">
        <f t="shared" ref="E52:E80" si="34">E51</f>
        <v>2.4E-2</v>
      </c>
      <c r="F52" s="483">
        <f t="shared" si="29"/>
        <v>8.7864033485916607E-2</v>
      </c>
      <c r="G52" s="69"/>
      <c r="H52" s="47"/>
      <c r="I52" s="70"/>
      <c r="J52" s="1">
        <v>0</v>
      </c>
      <c r="K52" s="220">
        <v>45</v>
      </c>
      <c r="L52" s="218">
        <f t="shared" si="25"/>
        <v>0.63405021480600277</v>
      </c>
      <c r="M52" s="206">
        <f t="shared" si="19"/>
        <v>0.63762815162177333</v>
      </c>
      <c r="N52" s="206">
        <f t="shared" si="20"/>
        <v>0.18919065798198206</v>
      </c>
      <c r="O52" s="206">
        <f t="shared" si="3"/>
        <v>0.40428826650213989</v>
      </c>
      <c r="P52" s="207">
        <f t="shared" si="4"/>
        <v>0.11995637733276474</v>
      </c>
      <c r="Q52" s="218">
        <f t="shared" si="30"/>
        <v>0.11111111111111116</v>
      </c>
      <c r="R52" s="206">
        <f t="shared" si="5"/>
        <v>0</v>
      </c>
      <c r="S52" s="206">
        <f t="shared" si="21"/>
        <v>0.11111111111111116</v>
      </c>
      <c r="T52" s="218" cm="1">
        <f t="array" ref="T52">IF(Q52="", "", IF(Q52&lt;1, 0, SUM(EXP(-0.01*_xlfn.SEQUENCE(1,R52)*K52)*(2-EXP(0.00693*_xlfn.SEQUENCE(1, R52)*K52)))))</f>
        <v>0</v>
      </c>
      <c r="U52" s="206">
        <f t="shared" si="6"/>
        <v>4.4920918500237786E-2</v>
      </c>
      <c r="V52" s="206">
        <f t="shared" si="7"/>
        <v>4.4920918500237786E-2</v>
      </c>
      <c r="W52" s="218" cm="1">
        <f t="array" ref="W52">IF(Q52="", "", IF(Q52&lt;1, 0, SUM(EXP(-0.037*_xlfn.SEQUENCE(1,R52)*K52)*(2-EXP(0.00693*_xlfn.SEQUENCE(1, R52)*K52)))))</f>
        <v>0</v>
      </c>
      <c r="X52" s="206">
        <f t="shared" si="8"/>
        <v>1.3328486370307199E-2</v>
      </c>
      <c r="Y52" s="207">
        <f t="shared" si="22"/>
        <v>1.3328486370307199E-2</v>
      </c>
      <c r="Z52" s="218">
        <f t="shared" si="23"/>
        <v>0.21653566731600707</v>
      </c>
      <c r="AA52" s="218">
        <f t="shared" si="9"/>
        <v>8.7542829575072575E-2</v>
      </c>
      <c r="AB52" s="207">
        <f t="shared" si="10"/>
        <v>2.5974834214560955E-2</v>
      </c>
      <c r="AC52" s="206" cm="1">
        <f t="array" ref="AC52">IF(Q52="", "", IF(Q52&lt;1, 0, SUM(EXP(-0.01*_xlfn.SEQUENCE(1,R52)*K52)*(2-EXP(0.00693*_xlfn.SEQUENCE(1, R52)*K52))*EXP(-0.034*_xlfn.SEQUENCE(1, R52)*K52))))</f>
        <v>0</v>
      </c>
      <c r="AD52" s="206">
        <f t="shared" si="11"/>
        <v>4.4920918500237786E-2</v>
      </c>
      <c r="AE52" s="206">
        <f t="shared" si="12"/>
        <v>4.4920918500237786E-2</v>
      </c>
      <c r="AF52" s="218" cm="1">
        <f t="array" ref="AF52">IF(Q52="", "", IF(Q52&lt;1, 0, SUM(EXP(-0.037*_xlfn.SEQUENCE(1,R52)*K52)*(2-EXP(0.00693*_xlfn.SEQUENCE(1, R52)*K52))*EXP(-0.034*_xlfn.SEQUENCE(1, R52)*K52))))</f>
        <v>0</v>
      </c>
      <c r="AG52" s="206">
        <f t="shared" si="13"/>
        <v>2.886092690506774E-3</v>
      </c>
      <c r="AH52" s="207">
        <f t="shared" si="14"/>
        <v>2.886092690506774E-3</v>
      </c>
      <c r="AI52" s="218">
        <f t="shared" si="15"/>
        <v>0.25924026064589156</v>
      </c>
      <c r="AJ52" s="226">
        <f t="shared" si="16"/>
        <v>46</v>
      </c>
      <c r="AK52" s="226">
        <f t="shared" si="17"/>
        <v>4</v>
      </c>
      <c r="AL52" s="206" cm="1">
        <f t="array" ref="AL52">IF(AK52=0, "", SUM(EXP(-0.03*_xlfn.SEQUENCE(1,AK52, AJ52))))</f>
        <v>0.96257508008203929</v>
      </c>
      <c r="AM52" s="210">
        <f t="shared" si="31"/>
        <v>25.286038393779087</v>
      </c>
      <c r="AN52" s="1">
        <f t="shared" si="32"/>
        <v>7.8999614113586997E-2</v>
      </c>
      <c r="AO52" s="210">
        <f t="shared" si="33"/>
        <v>1.1618342427282831</v>
      </c>
      <c r="AP52" s="210">
        <f t="shared" si="24"/>
        <v>113.49188875610304</v>
      </c>
      <c r="AT52" s="210" t="str">
        <v>Y</v>
      </c>
      <c r="AU52" s="210" t="str">
        <v>N</v>
      </c>
      <c r="AV52" s="210" t="str">
        <v>Y</v>
      </c>
      <c r="AW52" s="210" t="str">
        <v>N</v>
      </c>
      <c r="AX52" s="210" t="str">
        <v>Y</v>
      </c>
      <c r="AY52" s="210" t="str">
        <v>N</v>
      </c>
      <c r="AZ52" s="210" t="str">
        <v>N</v>
      </c>
      <c r="BA52" s="210" t="str">
        <v>N</v>
      </c>
      <c r="BB52" s="210" t="str">
        <v>L</v>
      </c>
      <c r="BC52" s="210" t="str">
        <v>N</v>
      </c>
      <c r="BD52" s="210" t="str">
        <v>N</v>
      </c>
      <c r="BE52" s="210" t="str">
        <v>N</v>
      </c>
      <c r="BF52" s="210" t="str">
        <v>N</v>
      </c>
      <c r="BG52" s="210" t="str">
        <v>N</v>
      </c>
      <c r="BH52" s="210" t="str">
        <v>L</v>
      </c>
      <c r="BI52" s="210" t="str">
        <v>N</v>
      </c>
      <c r="BJ52" s="210" t="str">
        <v>N</v>
      </c>
      <c r="BK52" s="210" t="str">
        <v>N</v>
      </c>
      <c r="BL52" s="210" t="str">
        <v>N</v>
      </c>
      <c r="BM52" s="210" t="str">
        <v>N</v>
      </c>
      <c r="BN52" s="210" t="str">
        <v>N</v>
      </c>
      <c r="BO52" s="210" t="str">
        <v>N</v>
      </c>
      <c r="BP52" s="210" t="str">
        <v>N</v>
      </c>
      <c r="BQ52" s="210" t="str">
        <v>N</v>
      </c>
      <c r="BR52" s="210" t="str">
        <v>N</v>
      </c>
      <c r="BS52" s="210" t="str">
        <v>N</v>
      </c>
      <c r="BT52" s="210" t="str">
        <v>N</v>
      </c>
      <c r="BU52" s="210" t="str">
        <v>N</v>
      </c>
      <c r="BV52" s="210" t="str">
        <v>N</v>
      </c>
      <c r="BW52" s="210" t="str">
        <v>N</v>
      </c>
      <c r="BX52" s="210" t="str">
        <v>N</v>
      </c>
      <c r="BY52" s="210" t="str">
        <v>N</v>
      </c>
      <c r="BZ52" s="210" t="str">
        <v>N</v>
      </c>
      <c r="CA52" s="210" t="str">
        <v>N</v>
      </c>
      <c r="CB52" s="210" t="str">
        <v>N</v>
      </c>
      <c r="CC52" s="210" t="str">
        <v>N</v>
      </c>
      <c r="CD52" s="210" t="str">
        <v>N</v>
      </c>
      <c r="CE52" s="210" t="str">
        <v>N</v>
      </c>
      <c r="CF52" s="210" t="str">
        <v>N</v>
      </c>
      <c r="CG52" s="210" t="str">
        <v>N</v>
      </c>
      <c r="CH52" s="210" t="str">
        <v>N</v>
      </c>
      <c r="CI52" s="210" t="str">
        <v>N</v>
      </c>
      <c r="CJ52" s="210" t="str">
        <v>N</v>
      </c>
      <c r="CK52" s="210" t="str">
        <v>N</v>
      </c>
      <c r="CL52" s="210" t="str">
        <v>L</v>
      </c>
      <c r="CM52" s="210" t="str">
        <v>N</v>
      </c>
      <c r="CN52" s="210" t="str">
        <v>N</v>
      </c>
      <c r="CO52" s="1" t="str">
        <v>N</v>
      </c>
      <c r="CP52" s="1" t="str">
        <v>N</v>
      </c>
      <c r="CQ52" s="1" t="str">
        <v>N</v>
      </c>
      <c r="CR52" s="1" t="str">
        <v>N</v>
      </c>
    </row>
    <row r="53" spans="2:96">
      <c r="B53" s="101">
        <v>2053</v>
      </c>
      <c r="C53" s="191"/>
      <c r="D53" s="191"/>
      <c r="E53" s="483">
        <f t="shared" si="34"/>
        <v>2.4E-2</v>
      </c>
      <c r="F53" s="483">
        <f t="shared" si="29"/>
        <v>8.6989771745263067E-2</v>
      </c>
      <c r="G53" s="69"/>
      <c r="H53" s="47"/>
      <c r="I53" s="70"/>
      <c r="J53" s="1">
        <v>0</v>
      </c>
      <c r="K53" s="220">
        <v>46</v>
      </c>
      <c r="L53" s="218">
        <f t="shared" si="25"/>
        <v>0.6245513070946993</v>
      </c>
      <c r="M53" s="206">
        <f t="shared" si="19"/>
        <v>0.63128364550692595</v>
      </c>
      <c r="N53" s="206">
        <f t="shared" si="20"/>
        <v>0.182318522128221</v>
      </c>
      <c r="O53" s="206">
        <f t="shared" si="3"/>
        <v>0.39426902594885738</v>
      </c>
      <c r="P53" s="207">
        <f t="shared" si="4"/>
        <v>0.11386727130275429</v>
      </c>
      <c r="Q53" s="218">
        <f t="shared" si="30"/>
        <v>8.6956521739130377E-2</v>
      </c>
      <c r="R53" s="206">
        <f t="shared" si="5"/>
        <v>0</v>
      </c>
      <c r="S53" s="206">
        <f t="shared" si="21"/>
        <v>8.6956521739130377E-2</v>
      </c>
      <c r="T53" s="218" cm="1">
        <f t="array" ref="T53">IF(Q53="", "", IF(Q53&lt;1, 0, SUM(EXP(-0.01*_xlfn.SEQUENCE(1,R53)*K53)*(2-EXP(0.00693*_xlfn.SEQUENCE(1, R53)*K53)))))</f>
        <v>0</v>
      </c>
      <c r="U53" s="206">
        <f t="shared" si="6"/>
        <v>3.4284263125987577E-2</v>
      </c>
      <c r="V53" s="206">
        <f t="shared" si="7"/>
        <v>3.4284263125987577E-2</v>
      </c>
      <c r="W53" s="218" cm="1">
        <f t="array" ref="W53">IF(Q53="", "", IF(Q53&lt;1, 0, SUM(EXP(-0.037*_xlfn.SEQUENCE(1,R53)*K53)*(2-EXP(0.00693*_xlfn.SEQUENCE(1, R53)*K53)))))</f>
        <v>0</v>
      </c>
      <c r="X53" s="206">
        <f t="shared" si="8"/>
        <v>9.9015018524134107E-3</v>
      </c>
      <c r="Y53" s="207">
        <f t="shared" si="22"/>
        <v>9.9015018524134107E-3</v>
      </c>
      <c r="Z53" s="218">
        <f t="shared" si="23"/>
        <v>0.20929720576531952</v>
      </c>
      <c r="AA53" s="218">
        <f t="shared" si="9"/>
        <v>8.2519405450910105E-2</v>
      </c>
      <c r="AB53" s="207">
        <f t="shared" si="10"/>
        <v>2.3832101711788026E-2</v>
      </c>
      <c r="AC53" s="206" cm="1">
        <f t="array" ref="AC53">IF(Q53="", "", IF(Q53&lt;1, 0, SUM(EXP(-0.01*_xlfn.SEQUENCE(1,R53)*K53)*(2-EXP(0.00693*_xlfn.SEQUENCE(1, R53)*K53))*EXP(-0.034*_xlfn.SEQUENCE(1, R53)*K53))))</f>
        <v>0</v>
      </c>
      <c r="AD53" s="206">
        <f t="shared" si="11"/>
        <v>3.4284263125987577E-2</v>
      </c>
      <c r="AE53" s="206">
        <f t="shared" si="12"/>
        <v>3.4284263125987577E-2</v>
      </c>
      <c r="AF53" s="218" cm="1">
        <f t="array" ref="AF53">IF(Q53="", "", IF(Q53&lt;1, 0, SUM(EXP(-0.037*_xlfn.SEQUENCE(1,R53)*K53)*(2-EXP(0.00693*_xlfn.SEQUENCE(1, R53)*K53))*EXP(-0.034*_xlfn.SEQUENCE(1, R53)*K53))))</f>
        <v>0</v>
      </c>
      <c r="AG53" s="206">
        <f t="shared" si="13"/>
        <v>2.0723566705902622E-3</v>
      </c>
      <c r="AH53" s="207">
        <f t="shared" si="14"/>
        <v>2.0723566705902622E-3</v>
      </c>
      <c r="AI53" s="218">
        <f t="shared" si="15"/>
        <v>0.25157855305975652</v>
      </c>
      <c r="AJ53" s="226">
        <f t="shared" si="16"/>
        <v>47</v>
      </c>
      <c r="AK53" s="226">
        <f t="shared" si="17"/>
        <v>3</v>
      </c>
      <c r="AL53" s="206" cm="1">
        <f t="array" ref="AL53">IF(AK53=0, "", SUM(EXP(-0.03*_xlfn.SEQUENCE(1,AK53, AJ53))))</f>
        <v>0.71099652702228266</v>
      </c>
      <c r="AM53" s="210">
        <f t="shared" si="31"/>
        <v>25.286038393779087</v>
      </c>
      <c r="AN53" s="1">
        <f t="shared" si="32"/>
        <v>4.059593424946481E-2</v>
      </c>
      <c r="AO53" s="210">
        <f t="shared" si="33"/>
        <v>1.1274968515793757</v>
      </c>
      <c r="AP53" s="210">
        <f t="shared" si="24"/>
        <v>114.61938560768242</v>
      </c>
      <c r="AT53" s="210" t="str">
        <v>Y</v>
      </c>
      <c r="AU53" s="210" t="str">
        <v>Y</v>
      </c>
      <c r="AV53" s="210" t="str">
        <v>N</v>
      </c>
      <c r="AW53" s="210" t="str">
        <v>N</v>
      </c>
      <c r="AX53" s="210" t="str">
        <v>N</v>
      </c>
      <c r="AY53" s="210" t="str">
        <v>N</v>
      </c>
      <c r="AZ53" s="210" t="str">
        <v>N</v>
      </c>
      <c r="BA53" s="210" t="str">
        <v>N</v>
      </c>
      <c r="BB53" s="210" t="str">
        <v>N</v>
      </c>
      <c r="BC53" s="210" t="str">
        <v>N</v>
      </c>
      <c r="BD53" s="210" t="str">
        <v>N</v>
      </c>
      <c r="BE53" s="210" t="str">
        <v>N</v>
      </c>
      <c r="BF53" s="210" t="str">
        <v>N</v>
      </c>
      <c r="BG53" s="210" t="str">
        <v>N</v>
      </c>
      <c r="BH53" s="210" t="str">
        <v>N</v>
      </c>
      <c r="BI53" s="210" t="str">
        <v>N</v>
      </c>
      <c r="BJ53" s="210" t="str">
        <v>N</v>
      </c>
      <c r="BK53" s="210" t="str">
        <v>N</v>
      </c>
      <c r="BL53" s="210" t="str">
        <v>N</v>
      </c>
      <c r="BM53" s="210" t="str">
        <v>N</v>
      </c>
      <c r="BN53" s="210" t="str">
        <v>N</v>
      </c>
      <c r="BO53" s="210" t="str">
        <v>N</v>
      </c>
      <c r="BP53" s="210" t="str">
        <v>L</v>
      </c>
      <c r="BQ53" s="210" t="str">
        <v>N</v>
      </c>
      <c r="BR53" s="210" t="str">
        <v>N</v>
      </c>
      <c r="BS53" s="210" t="str">
        <v>N</v>
      </c>
      <c r="BT53" s="210" t="str">
        <v>N</v>
      </c>
      <c r="BU53" s="210" t="str">
        <v>N</v>
      </c>
      <c r="BV53" s="210" t="str">
        <v>N</v>
      </c>
      <c r="BW53" s="210" t="str">
        <v>N</v>
      </c>
      <c r="BX53" s="210" t="str">
        <v>N</v>
      </c>
      <c r="BY53" s="210" t="str">
        <v>N</v>
      </c>
      <c r="BZ53" s="210" t="str">
        <v>N</v>
      </c>
      <c r="CA53" s="210" t="str">
        <v>N</v>
      </c>
      <c r="CB53" s="210" t="str">
        <v>N</v>
      </c>
      <c r="CC53" s="210" t="str">
        <v>N</v>
      </c>
      <c r="CD53" s="210" t="str">
        <v>N</v>
      </c>
      <c r="CE53" s="210" t="str">
        <v>N</v>
      </c>
      <c r="CF53" s="210" t="str">
        <v>N</v>
      </c>
      <c r="CG53" s="210" t="str">
        <v>N</v>
      </c>
      <c r="CH53" s="210" t="str">
        <v>N</v>
      </c>
      <c r="CI53" s="210" t="str">
        <v>N</v>
      </c>
      <c r="CJ53" s="210" t="str">
        <v>N</v>
      </c>
      <c r="CK53" s="210" t="str">
        <v>N</v>
      </c>
      <c r="CL53" s="210" t="str">
        <v>N</v>
      </c>
      <c r="CM53" s="210" t="str">
        <v>L</v>
      </c>
      <c r="CN53" s="210" t="str">
        <v>N</v>
      </c>
      <c r="CO53" s="1" t="str">
        <v>N</v>
      </c>
      <c r="CP53" s="1" t="str">
        <v>N</v>
      </c>
      <c r="CQ53" s="1" t="str">
        <v>N</v>
      </c>
      <c r="CR53" s="1" t="str">
        <v>N</v>
      </c>
    </row>
    <row r="54" spans="2:96">
      <c r="B54" s="101">
        <v>2054</v>
      </c>
      <c r="C54" s="191"/>
      <c r="D54" s="191"/>
      <c r="E54" s="483">
        <f t="shared" si="34"/>
        <v>2.4E-2</v>
      </c>
      <c r="F54" s="483">
        <f t="shared" si="29"/>
        <v>8.6124209054275772E-2</v>
      </c>
      <c r="G54" s="69"/>
      <c r="H54" s="47"/>
      <c r="I54" s="70"/>
      <c r="J54" s="1">
        <v>0</v>
      </c>
      <c r="K54" s="220">
        <v>47</v>
      </c>
      <c r="L54" s="218">
        <f t="shared" si="25"/>
        <v>0.61498634333310331</v>
      </c>
      <c r="M54" s="206">
        <f t="shared" si="19"/>
        <v>0.62500226828270078</v>
      </c>
      <c r="N54" s="206">
        <f t="shared" si="20"/>
        <v>0.17569600880707492</v>
      </c>
      <c r="O54" s="206">
        <f t="shared" si="3"/>
        <v>0.38436785954607339</v>
      </c>
      <c r="P54" s="207">
        <f t="shared" si="4"/>
        <v>0.10805064599448372</v>
      </c>
      <c r="Q54" s="218">
        <f t="shared" si="30"/>
        <v>6.3829787234042534E-2</v>
      </c>
      <c r="R54" s="206">
        <f t="shared" si="5"/>
        <v>0</v>
      </c>
      <c r="S54" s="206">
        <f t="shared" si="21"/>
        <v>6.3829787234042534E-2</v>
      </c>
      <c r="T54" s="218" cm="1">
        <f t="array" ref="T54">IF(Q54="", "", IF(Q54&lt;1, 0, SUM(EXP(-0.01*_xlfn.SEQUENCE(1,R54)*K54)*(2-EXP(0.00693*_xlfn.SEQUENCE(1, R54)*K54)))))</f>
        <v>0</v>
      </c>
      <c r="U54" s="206">
        <f t="shared" si="6"/>
        <v>2.4534118694430208E-2</v>
      </c>
      <c r="V54" s="206">
        <f t="shared" si="7"/>
        <v>2.4534118694430208E-2</v>
      </c>
      <c r="W54" s="218" cm="1">
        <f t="array" ref="W54">IF(Q54="", "", IF(Q54&lt;1, 0, SUM(EXP(-0.037*_xlfn.SEQUENCE(1,R54)*K54)*(2-EXP(0.00693*_xlfn.SEQUENCE(1, R54)*K54)))))</f>
        <v>0</v>
      </c>
      <c r="X54" s="206">
        <f t="shared" si="8"/>
        <v>6.8968497443287454E-3</v>
      </c>
      <c r="Y54" s="207">
        <f t="shared" si="22"/>
        <v>6.8968497443287454E-3</v>
      </c>
      <c r="Z54" s="218">
        <f t="shared" si="23"/>
        <v>0.2023007150930107</v>
      </c>
      <c r="AA54" s="218">
        <f t="shared" si="9"/>
        <v>7.7757892844940543E-2</v>
      </c>
      <c r="AB54" s="207">
        <f t="shared" si="10"/>
        <v>2.1858722950945809E-2</v>
      </c>
      <c r="AC54" s="206" cm="1">
        <f t="array" ref="AC54">IF(Q54="", "", IF(Q54&lt;1, 0, SUM(EXP(-0.01*_xlfn.SEQUENCE(1,R54)*K54)*(2-EXP(0.00693*_xlfn.SEQUENCE(1, R54)*K54))*EXP(-0.034*_xlfn.SEQUENCE(1, R54)*K54))))</f>
        <v>0</v>
      </c>
      <c r="AD54" s="206">
        <f t="shared" si="11"/>
        <v>2.4534118694430208E-2</v>
      </c>
      <c r="AE54" s="206">
        <f t="shared" si="12"/>
        <v>2.4534118694430208E-2</v>
      </c>
      <c r="AF54" s="218" cm="1">
        <f t="array" ref="AF54">IF(Q54="", "", IF(Q54&lt;1, 0, SUM(EXP(-0.037*_xlfn.SEQUENCE(1,R54)*K54)*(2-EXP(0.00693*_xlfn.SEQUENCE(1, R54)*K54))*EXP(-0.034*_xlfn.SEQUENCE(1, R54)*K54))))</f>
        <v>0</v>
      </c>
      <c r="AG54" s="206">
        <f t="shared" si="13"/>
        <v>1.3952376351667533E-3</v>
      </c>
      <c r="AH54" s="207">
        <f t="shared" si="14"/>
        <v>1.3952376351667533E-3</v>
      </c>
      <c r="AI54" s="218">
        <f t="shared" si="15"/>
        <v>0.24414328315343711</v>
      </c>
      <c r="AJ54" s="226">
        <f t="shared" si="16"/>
        <v>48</v>
      </c>
      <c r="AK54" s="226">
        <f t="shared" si="17"/>
        <v>2</v>
      </c>
      <c r="AL54" s="206" cm="1">
        <f t="array" ref="AL54">IF(AK54=0, "", SUM(EXP(-0.03*_xlfn.SEQUENCE(1,AK54, AJ54))))</f>
        <v>0.46685324386884564</v>
      </c>
      <c r="AM54" s="210">
        <f t="shared" si="31"/>
        <v>25.286038393779087</v>
      </c>
      <c r="AN54" s="1">
        <f t="shared" si="32"/>
        <v>1.4676094799152582E-2</v>
      </c>
      <c r="AO54" s="210">
        <f t="shared" si="33"/>
        <v>1.0941742837052104</v>
      </c>
      <c r="AP54" s="210">
        <f t="shared" si="24"/>
        <v>115.71355989138763</v>
      </c>
      <c r="AT54" s="210" t="str">
        <v>Y</v>
      </c>
      <c r="AU54" s="210" t="str">
        <v>N</v>
      </c>
      <c r="AV54" s="210" t="str">
        <v>N</v>
      </c>
      <c r="AW54" s="210" t="str">
        <v>N</v>
      </c>
      <c r="AX54" s="210" t="str">
        <v>N</v>
      </c>
      <c r="AY54" s="210" t="str">
        <v>N</v>
      </c>
      <c r="AZ54" s="210" t="str">
        <v>N</v>
      </c>
      <c r="BA54" s="210" t="str">
        <v>N</v>
      </c>
      <c r="BB54" s="210" t="str">
        <v>N</v>
      </c>
      <c r="BC54" s="210" t="str">
        <v>N</v>
      </c>
      <c r="BD54" s="210" t="str">
        <v>N</v>
      </c>
      <c r="BE54" s="210" t="str">
        <v>N</v>
      </c>
      <c r="BF54" s="210" t="str">
        <v>N</v>
      </c>
      <c r="BG54" s="210" t="str">
        <v>N</v>
      </c>
      <c r="BH54" s="210" t="str">
        <v>N</v>
      </c>
      <c r="BI54" s="210" t="str">
        <v>N</v>
      </c>
      <c r="BJ54" s="210" t="str">
        <v>N</v>
      </c>
      <c r="BK54" s="210" t="str">
        <v>N</v>
      </c>
      <c r="BL54" s="210" t="str">
        <v>N</v>
      </c>
      <c r="BM54" s="210" t="str">
        <v>N</v>
      </c>
      <c r="BN54" s="210" t="str">
        <v>N</v>
      </c>
      <c r="BO54" s="210" t="str">
        <v>N</v>
      </c>
      <c r="BP54" s="210" t="str">
        <v>N</v>
      </c>
      <c r="BQ54" s="210" t="str">
        <v>N</v>
      </c>
      <c r="BR54" s="210" t="str">
        <v>N</v>
      </c>
      <c r="BS54" s="210" t="str">
        <v>N</v>
      </c>
      <c r="BT54" s="210" t="str">
        <v>N</v>
      </c>
      <c r="BU54" s="210" t="str">
        <v>N</v>
      </c>
      <c r="BV54" s="210" t="str">
        <v>N</v>
      </c>
      <c r="BW54" s="210" t="str">
        <v>N</v>
      </c>
      <c r="BX54" s="210" t="str">
        <v>N</v>
      </c>
      <c r="BY54" s="210" t="str">
        <v>N</v>
      </c>
      <c r="BZ54" s="210" t="str">
        <v>N</v>
      </c>
      <c r="CA54" s="210" t="str">
        <v>N</v>
      </c>
      <c r="CB54" s="210" t="str">
        <v>N</v>
      </c>
      <c r="CC54" s="210" t="str">
        <v>N</v>
      </c>
      <c r="CD54" s="210" t="str">
        <v>N</v>
      </c>
      <c r="CE54" s="210" t="str">
        <v>N</v>
      </c>
      <c r="CF54" s="210" t="str">
        <v>N</v>
      </c>
      <c r="CG54" s="210" t="str">
        <v>N</v>
      </c>
      <c r="CH54" s="210" t="str">
        <v>N</v>
      </c>
      <c r="CI54" s="210" t="str">
        <v>N</v>
      </c>
      <c r="CJ54" s="210" t="str">
        <v>N</v>
      </c>
      <c r="CK54" s="210" t="str">
        <v>N</v>
      </c>
      <c r="CL54" s="210" t="str">
        <v>N</v>
      </c>
      <c r="CM54" s="210" t="str">
        <v>N</v>
      </c>
      <c r="CN54" s="210" t="str">
        <v>L</v>
      </c>
      <c r="CO54" s="1" t="str">
        <v>N</v>
      </c>
      <c r="CP54" s="1" t="str">
        <v>N</v>
      </c>
      <c r="CQ54" s="1" t="str">
        <v>N</v>
      </c>
      <c r="CR54" s="1" t="str">
        <v>N</v>
      </c>
    </row>
    <row r="55" spans="2:96">
      <c r="B55" s="101">
        <v>2055</v>
      </c>
      <c r="C55" s="191"/>
      <c r="D55" s="191"/>
      <c r="E55" s="483">
        <f t="shared" si="34"/>
        <v>2.4E-2</v>
      </c>
      <c r="F55" s="483">
        <f t="shared" si="29"/>
        <v>8.5267258855964326E-2</v>
      </c>
      <c r="G55" s="69"/>
      <c r="H55" s="47"/>
      <c r="I55" s="70"/>
      <c r="J55" s="1">
        <v>0</v>
      </c>
      <c r="K55" s="220">
        <v>48</v>
      </c>
      <c r="L55" s="218">
        <f t="shared" si="25"/>
        <v>0.60535486416294826</v>
      </c>
      <c r="M55" s="206">
        <f t="shared" si="19"/>
        <v>0.61878339180614084</v>
      </c>
      <c r="N55" s="206">
        <f t="shared" si="20"/>
        <v>0.16931405076345524</v>
      </c>
      <c r="O55" s="206">
        <f t="shared" si="3"/>
        <v>0.3745835360930948</v>
      </c>
      <c r="P55" s="207">
        <f t="shared" si="4"/>
        <v>0.10249508420078997</v>
      </c>
      <c r="Q55" s="218">
        <f t="shared" si="30"/>
        <v>4.1666666666666741E-2</v>
      </c>
      <c r="R55" s="206">
        <f t="shared" si="5"/>
        <v>0</v>
      </c>
      <c r="S55" s="206">
        <f t="shared" si="21"/>
        <v>4.1666666666666741E-2</v>
      </c>
      <c r="T55" s="218" cm="1">
        <f t="array" ref="T55">IF(Q55="", "", IF(Q55&lt;1, 0, SUM(EXP(-0.01*_xlfn.SEQUENCE(1,R55)*K55)*(2-EXP(0.00693*_xlfn.SEQUENCE(1, R55)*K55)))))</f>
        <v>0</v>
      </c>
      <c r="U55" s="206">
        <f t="shared" si="6"/>
        <v>1.5607647337212311E-2</v>
      </c>
      <c r="V55" s="206">
        <f t="shared" si="7"/>
        <v>1.5607647337212311E-2</v>
      </c>
      <c r="W55" s="218" cm="1">
        <f t="array" ref="W55">IF(Q55="", "", IF(Q55&lt;1, 0, SUM(EXP(-0.037*_xlfn.SEQUENCE(1,R55)*K55)*(2-EXP(0.00693*_xlfn.SEQUENCE(1, R55)*K55)))))</f>
        <v>0</v>
      </c>
      <c r="X55" s="206">
        <f t="shared" si="8"/>
        <v>4.2706285083662565E-3</v>
      </c>
      <c r="Y55" s="207">
        <f t="shared" si="22"/>
        <v>4.2706285083662565E-3</v>
      </c>
      <c r="Z55" s="218">
        <f t="shared" si="23"/>
        <v>0.1955381065766949</v>
      </c>
      <c r="AA55" s="218">
        <f t="shared" si="9"/>
        <v>7.324535540244681E-2</v>
      </c>
      <c r="AB55" s="207">
        <f t="shared" si="10"/>
        <v>2.0041694698041387E-2</v>
      </c>
      <c r="AC55" s="206" cm="1">
        <f t="array" ref="AC55">IF(Q55="", "", IF(Q55&lt;1, 0, SUM(EXP(-0.01*_xlfn.SEQUENCE(1,R55)*K55)*(2-EXP(0.00693*_xlfn.SEQUENCE(1, R55)*K55))*EXP(-0.034*_xlfn.SEQUENCE(1, R55)*K55))))</f>
        <v>0</v>
      </c>
      <c r="AD55" s="206">
        <f t="shared" si="11"/>
        <v>1.5607647337212311E-2</v>
      </c>
      <c r="AE55" s="206">
        <f t="shared" si="12"/>
        <v>1.5607647337212311E-2</v>
      </c>
      <c r="AF55" s="218" cm="1">
        <f t="array" ref="AF55">IF(Q55="", "", IF(Q55&lt;1, 0, SUM(EXP(-0.037*_xlfn.SEQUENCE(1,R55)*K55)*(2-EXP(0.00693*_xlfn.SEQUENCE(1, R55)*K55))*EXP(-0.034*_xlfn.SEQUENCE(1, R55)*K55))))</f>
        <v>0</v>
      </c>
      <c r="AG55" s="206">
        <f t="shared" si="13"/>
        <v>8.3507061241839262E-4</v>
      </c>
      <c r="AH55" s="207">
        <f t="shared" si="14"/>
        <v>8.3507061241839262E-4</v>
      </c>
      <c r="AI55" s="218">
        <f t="shared" si="15"/>
        <v>0.23692775868212176</v>
      </c>
      <c r="AJ55" s="226">
        <f t="shared" si="16"/>
        <v>49</v>
      </c>
      <c r="AK55" s="226">
        <f t="shared" si="17"/>
        <v>1</v>
      </c>
      <c r="AL55" s="206" cm="1">
        <f t="array" ref="AL55">IF(AK55=0, "", SUM(EXP(-0.03*_xlfn.SEQUENCE(1,AK55, AJ55))))</f>
        <v>0.22992548518672384</v>
      </c>
      <c r="AM55" s="210">
        <f t="shared" ref="AM55:AM57" si="35">SUMIF(_xlfn.XLOOKUP(AJ55, År_etter_ferdigstillelse_H, År_etter_ferdigstillelse_YN), "Y", sum_e__0_03_t_tau)</f>
        <v>25.286038393779087</v>
      </c>
      <c r="AN55" s="1">
        <f t="shared" ref="AN55:AN58" si="36">SUMIF(_xlfn.XLOOKUP(AJ55, År_etter_ferdigstillelse_H, År_etter_ferdigstillelse_YN), "L", sum_e__0_03_t_tau)*IF(ISBLANK(S55), 0, S55)</f>
        <v>0</v>
      </c>
      <c r="AO55" s="210">
        <f t="shared" si="33"/>
        <v>1.0618365465453596</v>
      </c>
      <c r="AP55" s="210">
        <f t="shared" si="24"/>
        <v>116.775396437933</v>
      </c>
      <c r="AT55" s="210" t="str">
        <v>Y</v>
      </c>
      <c r="AU55" s="210" t="str">
        <v>Y</v>
      </c>
      <c r="AV55" s="210" t="str">
        <v>L</v>
      </c>
      <c r="AW55" s="210" t="str">
        <v>L</v>
      </c>
      <c r="AX55" s="210" t="str">
        <v>N</v>
      </c>
      <c r="AY55" s="210" t="str">
        <v>L</v>
      </c>
      <c r="AZ55" s="210" t="str">
        <v>N</v>
      </c>
      <c r="BA55" s="210" t="str">
        <v>L</v>
      </c>
      <c r="BB55" s="210" t="str">
        <v>N</v>
      </c>
      <c r="BC55" s="210" t="str">
        <v>N</v>
      </c>
      <c r="BD55" s="210" t="str">
        <v>N</v>
      </c>
      <c r="BE55" s="210" t="str">
        <v>L</v>
      </c>
      <c r="BF55" s="210" t="str">
        <v>N</v>
      </c>
      <c r="BG55" s="210" t="str">
        <v>N</v>
      </c>
      <c r="BH55" s="210" t="str">
        <v>N</v>
      </c>
      <c r="BI55" s="210" t="str">
        <v>L</v>
      </c>
      <c r="BJ55" s="210" t="str">
        <v>N</v>
      </c>
      <c r="BK55" s="210" t="str">
        <v>N</v>
      </c>
      <c r="BL55" s="210" t="str">
        <v>N</v>
      </c>
      <c r="BM55" s="210" t="str">
        <v>N</v>
      </c>
      <c r="BN55" s="210" t="str">
        <v>N</v>
      </c>
      <c r="BO55" s="210" t="str">
        <v>N</v>
      </c>
      <c r="BP55" s="210" t="str">
        <v>N</v>
      </c>
      <c r="BQ55" s="210" t="str">
        <v>L</v>
      </c>
      <c r="BR55" s="210" t="str">
        <v>N</v>
      </c>
      <c r="BS55" s="210" t="str">
        <v>N</v>
      </c>
      <c r="BT55" s="210" t="str">
        <v>N</v>
      </c>
      <c r="BU55" s="210" t="str">
        <v>N</v>
      </c>
      <c r="BV55" s="210" t="str">
        <v>N</v>
      </c>
      <c r="BW55" s="210" t="str">
        <v>N</v>
      </c>
      <c r="BX55" s="210" t="str">
        <v>N</v>
      </c>
      <c r="BY55" s="210" t="str">
        <v>N</v>
      </c>
      <c r="BZ55" s="210" t="str">
        <v>N</v>
      </c>
      <c r="CA55" s="210" t="str">
        <v>N</v>
      </c>
      <c r="CB55" s="210" t="str">
        <v>N</v>
      </c>
      <c r="CC55" s="210" t="str">
        <v>N</v>
      </c>
      <c r="CD55" s="210" t="str">
        <v>N</v>
      </c>
      <c r="CE55" s="210" t="str">
        <v>N</v>
      </c>
      <c r="CF55" s="210" t="str">
        <v>N</v>
      </c>
      <c r="CG55" s="210" t="str">
        <v>N</v>
      </c>
      <c r="CH55" s="210" t="str">
        <v>N</v>
      </c>
      <c r="CI55" s="210" t="str">
        <v>N</v>
      </c>
      <c r="CJ55" s="210" t="str">
        <v>N</v>
      </c>
      <c r="CK55" s="210" t="str">
        <v>N</v>
      </c>
      <c r="CL55" s="210" t="str">
        <v>N</v>
      </c>
      <c r="CM55" s="210" t="str">
        <v>N</v>
      </c>
      <c r="CN55" s="210" t="str">
        <v>N</v>
      </c>
      <c r="CO55" s="1" t="str">
        <v>L</v>
      </c>
      <c r="CP55" s="1" t="str">
        <v>N</v>
      </c>
      <c r="CQ55" s="1" t="str">
        <v>N</v>
      </c>
      <c r="CR55" s="1" t="str">
        <v>N</v>
      </c>
    </row>
    <row r="56" spans="2:96">
      <c r="B56" s="101">
        <v>2056</v>
      </c>
      <c r="C56" s="191"/>
      <c r="D56" s="191"/>
      <c r="E56" s="483">
        <f t="shared" si="34"/>
        <v>2.4E-2</v>
      </c>
      <c r="F56" s="483">
        <f t="shared" si="29"/>
        <v>8.4418835454594748E-2</v>
      </c>
      <c r="G56" s="69"/>
      <c r="H56" s="47"/>
      <c r="I56" s="70"/>
      <c r="J56" s="1">
        <v>0</v>
      </c>
      <c r="K56" s="220">
        <v>49</v>
      </c>
      <c r="L56" s="218">
        <f t="shared" si="25"/>
        <v>0.59565640703155887</v>
      </c>
      <c r="M56" s="206">
        <f t="shared" si="19"/>
        <v>0.61262639418441611</v>
      </c>
      <c r="N56" s="206">
        <f t="shared" si="20"/>
        <v>0.16316391010001996</v>
      </c>
      <c r="O56" s="206">
        <f t="shared" si="3"/>
        <v>0.36491483681258879</v>
      </c>
      <c r="P56" s="207">
        <f t="shared" si="4"/>
        <v>9.7189628447398174E-2</v>
      </c>
      <c r="Q56" s="218">
        <f t="shared" si="30"/>
        <v>2.0408163265306145E-2</v>
      </c>
      <c r="R56" s="206">
        <f t="shared" si="5"/>
        <v>0</v>
      </c>
      <c r="S56" s="206">
        <f t="shared" si="21"/>
        <v>2.0408163265306145E-2</v>
      </c>
      <c r="T56" s="218" cm="1">
        <f t="array" ref="T56">IF(Q56="", "", IF(Q56&lt;1, 0, SUM(EXP(-0.01*_xlfn.SEQUENCE(1,R56)*K56)*(2-EXP(0.00693*_xlfn.SEQUENCE(1, R56)*K56)))))</f>
        <v>0</v>
      </c>
      <c r="U56" s="206">
        <f t="shared" si="6"/>
        <v>7.4472415676038609E-3</v>
      </c>
      <c r="V56" s="206">
        <f t="shared" si="7"/>
        <v>7.4472415676038609E-3</v>
      </c>
      <c r="W56" s="218" cm="1">
        <f t="array" ref="W56">IF(Q56="", "", IF(Q56&lt;1, 0, SUM(EXP(-0.037*_xlfn.SEQUENCE(1,R56)*K56)*(2-EXP(0.00693*_xlfn.SEQUENCE(1, R56)*K56)))))</f>
        <v>0</v>
      </c>
      <c r="X56" s="206">
        <f t="shared" si="8"/>
        <v>1.9834618050489443E-3</v>
      </c>
      <c r="Y56" s="207">
        <f t="shared" si="22"/>
        <v>1.9834618050489443E-3</v>
      </c>
      <c r="Z56" s="218">
        <f t="shared" si="23"/>
        <v>0.18900156188780512</v>
      </c>
      <c r="AA56" s="218">
        <f t="shared" si="9"/>
        <v>6.8969474113612803E-2</v>
      </c>
      <c r="AB56" s="207">
        <f t="shared" si="10"/>
        <v>1.836899157585371E-2</v>
      </c>
      <c r="AC56" s="206" cm="1">
        <f t="array" ref="AC56">IF(Q56="", "", IF(Q56&lt;1, 0, SUM(EXP(-0.01*_xlfn.SEQUENCE(1,R56)*K56)*(2-EXP(0.00693*_xlfn.SEQUENCE(1, R56)*K56))*EXP(-0.034*_xlfn.SEQUENCE(1, R56)*K56))))</f>
        <v>0</v>
      </c>
      <c r="AD56" s="206">
        <f t="shared" si="11"/>
        <v>7.4472415676038609E-3</v>
      </c>
      <c r="AE56" s="206">
        <f t="shared" si="12"/>
        <v>7.4472415676038609E-3</v>
      </c>
      <c r="AF56" s="218" cm="1">
        <f t="array" ref="AF56">IF(Q56="", "", IF(Q56&lt;1, 0, SUM(EXP(-0.037*_xlfn.SEQUENCE(1,R56)*K56)*(2-EXP(0.00693*_xlfn.SEQUENCE(1, R56)*K56))*EXP(-0.034*_xlfn.SEQUENCE(1, R56)*K56))))</f>
        <v>0</v>
      </c>
      <c r="AG56" s="206">
        <f t="shared" si="13"/>
        <v>3.7487737909905572E-4</v>
      </c>
      <c r="AH56" s="207">
        <f t="shared" si="14"/>
        <v>3.7487737909905572E-4</v>
      </c>
      <c r="AI56" s="218">
        <f t="shared" si="15"/>
        <v>0.22992548518672384</v>
      </c>
      <c r="AJ56" s="226">
        <f t="shared" si="16"/>
        <v>50</v>
      </c>
      <c r="AK56" s="226">
        <f t="shared" si="17"/>
        <v>0</v>
      </c>
      <c r="AL56" s="206" t="str" cm="1">
        <f t="array" ref="AL56">IF(AK56=0, "", SUM(EXP(-0.03*_xlfn.SEQUENCE(1,AK56, AJ56))))</f>
        <v/>
      </c>
      <c r="AM56" s="210">
        <f t="shared" si="35"/>
        <v>25.286038393779087</v>
      </c>
      <c r="AN56" s="1">
        <f t="shared" si="36"/>
        <v>0</v>
      </c>
      <c r="AO56" s="210">
        <f t="shared" si="33"/>
        <v>1.0304545339535169</v>
      </c>
      <c r="AP56" s="210">
        <f t="shared" si="24"/>
        <v>117.80585097188651</v>
      </c>
      <c r="AT56" s="1" t="str">
        <v>Y</v>
      </c>
      <c r="AU56" s="1" t="str">
        <v>N</v>
      </c>
      <c r="AV56" s="1" t="str">
        <v>N</v>
      </c>
      <c r="AW56" s="1" t="str">
        <v>N</v>
      </c>
      <c r="AX56" s="1" t="str">
        <v>N</v>
      </c>
      <c r="AY56" s="1" t="str">
        <v>N</v>
      </c>
      <c r="AZ56" s="1" t="str">
        <v>L</v>
      </c>
      <c r="BA56" s="1" t="str">
        <v>N</v>
      </c>
      <c r="BB56" s="1" t="str">
        <v>N</v>
      </c>
      <c r="BC56" s="1" t="str">
        <v>N</v>
      </c>
      <c r="BD56" s="1" t="str">
        <v>N</v>
      </c>
      <c r="BE56" s="1" t="str">
        <v>N</v>
      </c>
      <c r="BF56" s="1" t="str">
        <v>N</v>
      </c>
      <c r="BG56" s="1" t="str">
        <v>N</v>
      </c>
      <c r="BH56" s="1" t="str">
        <v>N</v>
      </c>
      <c r="BI56" s="1" t="str">
        <v>N</v>
      </c>
      <c r="BJ56" s="1" t="str">
        <v>N</v>
      </c>
      <c r="BK56" s="1" t="str">
        <v>N</v>
      </c>
      <c r="BL56" s="1" t="str">
        <v>N</v>
      </c>
      <c r="BM56" s="1" t="str">
        <v>N</v>
      </c>
      <c r="BN56" s="1" t="str">
        <v>N</v>
      </c>
      <c r="BO56" s="1" t="str">
        <v>N</v>
      </c>
      <c r="BP56" s="1" t="str">
        <v>N</v>
      </c>
      <c r="BQ56" s="1" t="str">
        <v>N</v>
      </c>
      <c r="BR56" s="1" t="str">
        <v>N</v>
      </c>
      <c r="BS56" s="1" t="str">
        <v>N</v>
      </c>
      <c r="BT56" s="1" t="str">
        <v>N</v>
      </c>
      <c r="BU56" s="1" t="str">
        <v>N</v>
      </c>
      <c r="BV56" s="1" t="str">
        <v>N</v>
      </c>
      <c r="BW56" s="1" t="str">
        <v>N</v>
      </c>
      <c r="BX56" s="1" t="str">
        <v>N</v>
      </c>
      <c r="BY56" s="1" t="str">
        <v>N</v>
      </c>
      <c r="BZ56" s="1" t="str">
        <v>N</v>
      </c>
      <c r="CA56" s="1" t="str">
        <v>N</v>
      </c>
      <c r="CB56" s="1" t="str">
        <v>N</v>
      </c>
      <c r="CC56" s="1" t="str">
        <v>N</v>
      </c>
      <c r="CD56" s="1" t="str">
        <v>N</v>
      </c>
      <c r="CE56" s="1" t="str">
        <v>N</v>
      </c>
      <c r="CF56" s="1" t="str">
        <v>N</v>
      </c>
      <c r="CG56" s="1" t="str">
        <v>N</v>
      </c>
      <c r="CH56" s="1" t="str">
        <v>N</v>
      </c>
      <c r="CI56" s="1" t="str">
        <v>N</v>
      </c>
      <c r="CJ56" s="1" t="str">
        <v>N</v>
      </c>
      <c r="CK56" s="1" t="str">
        <v>N</v>
      </c>
      <c r="CL56" s="1" t="str">
        <v>N</v>
      </c>
      <c r="CM56" s="1" t="str">
        <v>N</v>
      </c>
      <c r="CN56" s="1" t="str">
        <v>N</v>
      </c>
      <c r="CO56" s="1" t="str">
        <v>N</v>
      </c>
      <c r="CP56" s="1" t="str">
        <v>L</v>
      </c>
      <c r="CQ56" s="1" t="str">
        <v>N</v>
      </c>
      <c r="CR56" s="1" t="str">
        <v>N</v>
      </c>
    </row>
    <row r="57" spans="2:96">
      <c r="B57" s="101">
        <v>2057</v>
      </c>
      <c r="C57" s="191"/>
      <c r="D57" s="191"/>
      <c r="E57" s="483">
        <f t="shared" si="34"/>
        <v>2.4E-2</v>
      </c>
      <c r="F57" s="483">
        <f t="shared" si="29"/>
        <v>8.357885400711991E-2</v>
      </c>
      <c r="G57" s="69"/>
      <c r="H57" s="47"/>
      <c r="I57" s="70"/>
      <c r="J57" s="1">
        <v>0</v>
      </c>
      <c r="K57" s="220">
        <v>50</v>
      </c>
      <c r="L57" s="218">
        <f t="shared" ref="L57:L58" si="37">2-EXP(0.00693*K57)</f>
        <v>0.58589050616963756</v>
      </c>
      <c r="M57" s="206">
        <f t="shared" ref="M57:M58" si="38">EXP(-0.01*K57)</f>
        <v>0.60653065971263342</v>
      </c>
      <c r="N57" s="206">
        <f t="shared" ref="N57:N58" si="39">EXP(-0.037*K57)</f>
        <v>0.15723716631362764</v>
      </c>
      <c r="O57" s="206">
        <f t="shared" si="3"/>
        <v>0.355360555226439</v>
      </c>
      <c r="P57" s="207">
        <f t="shared" si="4"/>
        <v>9.2123762960170774E-2</v>
      </c>
      <c r="Q57" s="218">
        <f t="shared" ref="Q57:Q58" si="40">IF(K57=0, "", Beregningsperiode/K57-1)</f>
        <v>0</v>
      </c>
      <c r="R57" s="206">
        <f t="shared" ref="R57:R58" si="41">IF(Q57="", "", ROUNDDOWN(Q57,0))</f>
        <v>0</v>
      </c>
      <c r="S57" s="206">
        <f t="shared" ref="S57:S58" si="42">Q57-R57</f>
        <v>0</v>
      </c>
      <c r="T57" s="218" cm="1">
        <f t="array" ref="T57">IF(Q57="", "", IF(Q57&lt;1, 0, SUM(EXP(-0.01*_xlfn.SEQUENCE(1,R57)*K57)*(2-EXP(0.00693*_xlfn.SEQUENCE(1, R57)*K57)))))</f>
        <v>0</v>
      </c>
      <c r="U57" s="206">
        <f t="shared" ref="U57:U58" si="43">IF(Q57="", "", S57*(2-EXP(0.00693*(R57+1)*K57))*EXP(-0.01*(R57+1)*K57))</f>
        <v>0</v>
      </c>
      <c r="V57" s="206">
        <f t="shared" ref="V57:V58" si="44">IF(Q57="", "", T57+U57)</f>
        <v>0</v>
      </c>
      <c r="W57" s="218" cm="1">
        <f t="array" ref="W57">IF(Q57="", "", IF(Q57&lt;1, 0, SUM(EXP(-0.037*_xlfn.SEQUENCE(1,R57)*K57)*(2-EXP(0.00693*_xlfn.SEQUENCE(1, R57)*K57)))))</f>
        <v>0</v>
      </c>
      <c r="X57" s="206">
        <f t="shared" ref="X57:X58" si="45">IF(Q57="", "", S57*(2-EXP(0.00693*(R57+1)*K57))*EXP(-0.037*(R57+1)*K57))</f>
        <v>0</v>
      </c>
      <c r="Y57" s="207">
        <f t="shared" ref="Y57:Y58" si="46">IF(Q57="", "", W57+X57)</f>
        <v>0</v>
      </c>
      <c r="Z57" s="218">
        <f t="shared" ref="Z57:Z58" si="47">EXP(-0.034*K57)</f>
        <v>0.18268352405273461</v>
      </c>
      <c r="AA57" s="218">
        <f t="shared" ref="AA57:AA58" si="48">O57*$Z57</f>
        <v>6.4918518538102293E-2</v>
      </c>
      <c r="AB57" s="207">
        <f t="shared" ref="AB57:AB58" si="49">P57*$Z57</f>
        <v>1.6829493666562778E-2</v>
      </c>
      <c r="AC57" s="206" cm="1">
        <f t="array" ref="AC57">IF(Q57="", "", IF(Q57&lt;1, 0, SUM(EXP(-0.01*_xlfn.SEQUENCE(1,R57)*K57)*(2-EXP(0.00693*_xlfn.SEQUENCE(1, R57)*K57))*EXP(-0.034*_xlfn.SEQUENCE(1, R57)*K57))))</f>
        <v>0</v>
      </c>
      <c r="AD57" s="206">
        <f t="shared" ref="AD57:AD58" si="50">IF(Q57="", "", S57*(2-EXP(0.00693*(R57+1)*K57))*EXP(-0.01*(R57+1)*K57))</f>
        <v>0</v>
      </c>
      <c r="AE57" s="206">
        <f t="shared" ref="AE57:AE58" si="51">IF(Q57="", "", AC57+AD57)</f>
        <v>0</v>
      </c>
      <c r="AF57" s="218" cm="1">
        <f t="array" ref="AF57">IF(Q57="", "", IF(Q57&lt;1, 0, SUM(EXP(-0.037*_xlfn.SEQUENCE(1,R57)*K57)*(2-EXP(0.00693*_xlfn.SEQUENCE(1, R57)*K57))*EXP(-0.034*_xlfn.SEQUENCE(1, R57)*K57))))</f>
        <v>0</v>
      </c>
      <c r="AG57" s="206">
        <f t="shared" ref="AG57:AG58" si="52">IF(Q57="", "", S57*(2-EXP(0.00693*(R57+1)*K57))*EXP(-0.037*(R57+1)*K57)*EXP(-0.034*(R57+1)*K57))</f>
        <v>0</v>
      </c>
      <c r="AH57" s="207">
        <f t="shared" ref="AH57:AH58" si="53">IF(Q57="", "", AF57+AG57)</f>
        <v>0</v>
      </c>
      <c r="AI57" s="218">
        <f t="shared" ref="AI57:AI58" si="54">EXP(-0.03*K57)</f>
        <v>0.22313016014842982</v>
      </c>
      <c r="AJ57" s="226">
        <f t="shared" si="16"/>
        <v>51</v>
      </c>
      <c r="AK57" s="226">
        <f t="shared" ref="AK57:AK58" si="55">MAX(50-AJ57, 0)</f>
        <v>0</v>
      </c>
      <c r="AL57" s="206" t="str" cm="1">
        <f t="array" ref="AL57">IF(AK57=0, "", SUM(EXP(-0.03*_xlfn.SEQUENCE(1,AK57, AJ57))))</f>
        <v/>
      </c>
      <c r="AM57" s="210">
        <f t="shared" si="35"/>
        <v>0</v>
      </c>
      <c r="AN57" s="1">
        <f t="shared" si="36"/>
        <v>0</v>
      </c>
      <c r="AO57" s="210">
        <f t="shared" si="33"/>
        <v>1</v>
      </c>
      <c r="AP57" s="210">
        <f t="shared" si="24"/>
        <v>118.80585097188651</v>
      </c>
      <c r="AT57" s="1" t="str">
        <v>L</v>
      </c>
      <c r="AU57" s="1" t="str">
        <v>L</v>
      </c>
      <c r="AV57" s="1" t="str">
        <v>N</v>
      </c>
      <c r="AW57" s="1" t="str">
        <v>N</v>
      </c>
      <c r="AX57" s="1" t="str">
        <v>L</v>
      </c>
      <c r="AY57" s="1" t="str">
        <v>N</v>
      </c>
      <c r="AZ57" s="1" t="str">
        <v>N</v>
      </c>
      <c r="BA57" s="1" t="str">
        <v>N</v>
      </c>
      <c r="BB57" s="1" t="str">
        <v>N</v>
      </c>
      <c r="BC57" s="1" t="str">
        <v>L</v>
      </c>
      <c r="BD57" s="1" t="str">
        <v>N</v>
      </c>
      <c r="BE57" s="1" t="str">
        <v>N</v>
      </c>
      <c r="BF57" s="1" t="str">
        <v>N</v>
      </c>
      <c r="BG57" s="1" t="str">
        <v>N</v>
      </c>
      <c r="BH57" s="1" t="str">
        <v>N</v>
      </c>
      <c r="BI57" s="1" t="str">
        <v>N</v>
      </c>
      <c r="BJ57" s="1" t="str">
        <v>N</v>
      </c>
      <c r="BK57" s="1" t="str">
        <v>N</v>
      </c>
      <c r="BL57" s="1" t="str">
        <v>N</v>
      </c>
      <c r="BM57" s="1" t="str">
        <v>N</v>
      </c>
      <c r="BN57" s="1" t="str">
        <v>N</v>
      </c>
      <c r="BO57" s="1" t="str">
        <v>N</v>
      </c>
      <c r="BP57" s="1" t="str">
        <v>N</v>
      </c>
      <c r="BQ57" s="1" t="str">
        <v>N</v>
      </c>
      <c r="BR57" s="1" t="str">
        <v>L</v>
      </c>
      <c r="BS57" s="1" t="str">
        <v>N</v>
      </c>
      <c r="BT57" s="1" t="str">
        <v>N</v>
      </c>
      <c r="BU57" s="1" t="str">
        <v>N</v>
      </c>
      <c r="BV57" s="1" t="str">
        <v>N</v>
      </c>
      <c r="BW57" s="1" t="str">
        <v>N</v>
      </c>
      <c r="BX57" s="1" t="str">
        <v>N</v>
      </c>
      <c r="BY57" s="1" t="str">
        <v>N</v>
      </c>
      <c r="BZ57" s="1" t="str">
        <v>N</v>
      </c>
      <c r="CA57" s="1" t="str">
        <v>N</v>
      </c>
      <c r="CB57" s="1" t="str">
        <v>N</v>
      </c>
      <c r="CC57" s="1" t="str">
        <v>N</v>
      </c>
      <c r="CD57" s="1" t="str">
        <v>N</v>
      </c>
      <c r="CE57" s="1" t="str">
        <v>N</v>
      </c>
      <c r="CF57" s="1" t="str">
        <v>N</v>
      </c>
      <c r="CG57" s="1" t="str">
        <v>N</v>
      </c>
      <c r="CH57" s="1" t="str">
        <v>N</v>
      </c>
      <c r="CI57" s="1" t="str">
        <v>N</v>
      </c>
      <c r="CJ57" s="1" t="str">
        <v>N</v>
      </c>
      <c r="CK57" s="1" t="str">
        <v>N</v>
      </c>
      <c r="CL57" s="1" t="str">
        <v>N</v>
      </c>
      <c r="CM57" s="1" t="str">
        <v>N</v>
      </c>
      <c r="CN57" s="1" t="str">
        <v>N</v>
      </c>
      <c r="CO57" s="1" t="str">
        <v>N</v>
      </c>
      <c r="CP57" s="1" t="str">
        <v>N</v>
      </c>
      <c r="CQ57" s="1" t="str">
        <v>L</v>
      </c>
      <c r="CR57" s="1" t="str">
        <v>N</v>
      </c>
    </row>
    <row r="58" spans="2:96">
      <c r="B58" s="101">
        <v>2058</v>
      </c>
      <c r="C58" s="191"/>
      <c r="D58" s="191"/>
      <c r="E58" s="483">
        <f t="shared" si="34"/>
        <v>2.4E-2</v>
      </c>
      <c r="F58" s="483">
        <f t="shared" si="29"/>
        <v>8.2747230514695055E-2</v>
      </c>
      <c r="G58" s="69"/>
      <c r="H58" s="47"/>
      <c r="I58" s="70"/>
      <c r="J58" s="1">
        <v>0</v>
      </c>
      <c r="K58" s="220">
        <v>51</v>
      </c>
      <c r="L58" s="218">
        <f t="shared" si="37"/>
        <v>0.57605669256889458</v>
      </c>
      <c r="M58" s="206">
        <f t="shared" si="38"/>
        <v>0.6004955788122659</v>
      </c>
      <c r="N58" s="206">
        <f t="shared" si="39"/>
        <v>0.15152570476635302</v>
      </c>
      <c r="O58" s="206">
        <f t="shared" si="3"/>
        <v>0.34591949703283786</v>
      </c>
      <c r="P58" s="207">
        <f t="shared" si="4"/>
        <v>8.7287396326876099E-2</v>
      </c>
      <c r="Q58" s="218">
        <f t="shared" si="40"/>
        <v>-1.9607843137254943E-2</v>
      </c>
      <c r="R58" s="206">
        <f t="shared" si="41"/>
        <v>0</v>
      </c>
      <c r="S58" s="206">
        <f t="shared" si="42"/>
        <v>-1.9607843137254943E-2</v>
      </c>
      <c r="T58" s="218" cm="1">
        <f t="array" ref="T58">IF(Q58="", "", IF(Q58&lt;1, 0, SUM(EXP(-0.01*_xlfn.SEQUENCE(1,R58)*K58)*(2-EXP(0.00693*_xlfn.SEQUENCE(1, R58)*K58)))))</f>
        <v>0</v>
      </c>
      <c r="U58" s="206">
        <f t="shared" si="43"/>
        <v>-6.7827352359380111E-3</v>
      </c>
      <c r="V58" s="206">
        <f t="shared" si="44"/>
        <v>-6.7827352359380111E-3</v>
      </c>
      <c r="W58" s="218" cm="1">
        <f t="array" ref="W58">IF(Q58="", "", IF(Q58&lt;1, 0, SUM(EXP(-0.037*_xlfn.SEQUENCE(1,R58)*K58)*(2-EXP(0.00693*_xlfn.SEQUENCE(1, R58)*K58)))))</f>
        <v>0</v>
      </c>
      <c r="X58" s="206">
        <f t="shared" si="45"/>
        <v>-1.71151757503679E-3</v>
      </c>
      <c r="Y58" s="207">
        <f t="shared" si="46"/>
        <v>-1.71151757503679E-3</v>
      </c>
      <c r="Z58" s="218">
        <f t="shared" si="47"/>
        <v>0.17657668871613383</v>
      </c>
      <c r="AA58" s="218">
        <f t="shared" si="48"/>
        <v>6.1081319348408991E-2</v>
      </c>
      <c r="AB58" s="207">
        <f t="shared" si="49"/>
        <v>1.5412919410052604E-2</v>
      </c>
      <c r="AC58" s="206" cm="1">
        <f t="array" ref="AC58">IF(Q58="", "", IF(Q58&lt;1, 0, SUM(EXP(-0.01*_xlfn.SEQUENCE(1,R58)*K58)*(2-EXP(0.00693*_xlfn.SEQUENCE(1, R58)*K58))*EXP(-0.034*_xlfn.SEQUENCE(1, R58)*K58))))</f>
        <v>0</v>
      </c>
      <c r="AD58" s="206">
        <f t="shared" si="50"/>
        <v>-6.7827352359380111E-3</v>
      </c>
      <c r="AE58" s="206">
        <f t="shared" si="51"/>
        <v>-6.7827352359380111E-3</v>
      </c>
      <c r="AF58" s="218" cm="1">
        <f t="array" ref="AF58">IF(Q58="", "", IF(Q58&lt;1, 0, SUM(EXP(-0.037*_xlfn.SEQUENCE(1,R58)*K58)*(2-EXP(0.00693*_xlfn.SEQUENCE(1, R58)*K58))*EXP(-0.034*_xlfn.SEQUENCE(1, R58)*K58))))</f>
        <v>0</v>
      </c>
      <c r="AG58" s="206">
        <f t="shared" si="52"/>
        <v>-3.0221410607946349E-4</v>
      </c>
      <c r="AH58" s="207">
        <f t="shared" si="53"/>
        <v>-3.0221410607946349E-4</v>
      </c>
      <c r="AI58" s="218">
        <f t="shared" si="54"/>
        <v>0.21653566731600707</v>
      </c>
      <c r="AJ58" s="226">
        <f t="shared" si="16"/>
        <v>52</v>
      </c>
      <c r="AK58" s="226">
        <f t="shared" si="55"/>
        <v>0</v>
      </c>
      <c r="AL58" s="206" t="str" cm="1">
        <f t="array" ref="AL58">IF(AK58=0, "", SUM(EXP(-0.03*_xlfn.SEQUENCE(1,AK58, AJ58))))</f>
        <v/>
      </c>
      <c r="AM58" s="210" t="e">
        <f>SUMIF(_xlfn.XLOOKUP(AJ58, År_etter_ferdigstillelse_H, År_etter_ferdigstillelse_YN), "Y", sum_e__0_03_t_tau)</f>
        <v>#N/A</v>
      </c>
      <c r="AN58" s="1" t="e">
        <f t="shared" si="36"/>
        <v>#N/A</v>
      </c>
      <c r="AO58" s="210">
        <f t="shared" si="33"/>
        <v>0.97044553354850815</v>
      </c>
      <c r="AP58" s="210">
        <f t="shared" si="24"/>
        <v>119.77629650543503</v>
      </c>
      <c r="AT58" s="1" t="str">
        <v>L</v>
      </c>
      <c r="AU58" s="1" t="str">
        <v>N</v>
      </c>
      <c r="AV58" s="1" t="str">
        <v>L</v>
      </c>
      <c r="AW58" s="1" t="str">
        <v>N</v>
      </c>
      <c r="AX58" s="1" t="str">
        <v>N</v>
      </c>
      <c r="AY58" s="1" t="str">
        <v>N</v>
      </c>
      <c r="AZ58" s="1" t="str">
        <v>N</v>
      </c>
      <c r="BA58" s="1" t="str">
        <v>N</v>
      </c>
      <c r="BB58" s="1" t="str">
        <v>N</v>
      </c>
      <c r="BC58" s="1" t="str">
        <v>N</v>
      </c>
      <c r="BD58" s="1" t="str">
        <v>N</v>
      </c>
      <c r="BE58" s="1" t="str">
        <v>N</v>
      </c>
      <c r="BF58" s="1" t="str">
        <v>N</v>
      </c>
      <c r="BG58" s="1" t="str">
        <v>N</v>
      </c>
      <c r="BH58" s="1" t="str">
        <v>N</v>
      </c>
      <c r="BI58" s="1" t="str">
        <v>N</v>
      </c>
      <c r="BJ58" s="1" t="str">
        <v>L</v>
      </c>
      <c r="BK58" s="1" t="str">
        <v>N</v>
      </c>
      <c r="BL58" s="1" t="str">
        <v>N</v>
      </c>
      <c r="BM58" s="1" t="str">
        <v>N</v>
      </c>
      <c r="BN58" s="1" t="str">
        <v>N</v>
      </c>
      <c r="BO58" s="1" t="str">
        <v>N</v>
      </c>
      <c r="BP58" s="1" t="str">
        <v>N</v>
      </c>
      <c r="BQ58" s="1" t="str">
        <v>N</v>
      </c>
      <c r="BR58" s="1" t="str">
        <v>N</v>
      </c>
      <c r="BS58" s="1" t="str">
        <v>N</v>
      </c>
      <c r="BT58" s="1" t="str">
        <v>N</v>
      </c>
      <c r="BU58" s="1" t="str">
        <v>N</v>
      </c>
      <c r="BV58" s="1" t="str">
        <v>N</v>
      </c>
      <c r="BW58" s="1" t="str">
        <v>N</v>
      </c>
      <c r="BX58" s="1" t="str">
        <v>N</v>
      </c>
      <c r="BY58" s="1" t="str">
        <v>N</v>
      </c>
      <c r="BZ58" s="1" t="str">
        <v>N</v>
      </c>
      <c r="CA58" s="1" t="str">
        <v>N</v>
      </c>
      <c r="CB58" s="1" t="str">
        <v>N</v>
      </c>
      <c r="CC58" s="1" t="str">
        <v>N</v>
      </c>
      <c r="CD58" s="1" t="str">
        <v>N</v>
      </c>
      <c r="CE58" s="1" t="str">
        <v>N</v>
      </c>
      <c r="CF58" s="1" t="str">
        <v>N</v>
      </c>
      <c r="CG58" s="1" t="str">
        <v>N</v>
      </c>
      <c r="CH58" s="1" t="str">
        <v>N</v>
      </c>
      <c r="CI58" s="1" t="str">
        <v>N</v>
      </c>
      <c r="CJ58" s="1" t="str">
        <v>N</v>
      </c>
      <c r="CK58" s="1" t="str">
        <v>N</v>
      </c>
      <c r="CL58" s="1" t="str">
        <v>N</v>
      </c>
      <c r="CM58" s="1" t="str">
        <v>N</v>
      </c>
      <c r="CN58" s="1" t="str">
        <v>N</v>
      </c>
      <c r="CO58" s="1" t="str">
        <v>N</v>
      </c>
      <c r="CP58" s="1" t="str">
        <v>N</v>
      </c>
      <c r="CQ58" s="1" t="str">
        <v>N</v>
      </c>
      <c r="CR58" s="1" t="str">
        <v>L</v>
      </c>
    </row>
    <row r="59" spans="2:96">
      <c r="B59" s="101">
        <v>2059</v>
      </c>
      <c r="C59" s="191"/>
      <c r="D59" s="191"/>
      <c r="E59" s="483">
        <f t="shared" si="34"/>
        <v>2.4E-2</v>
      </c>
      <c r="F59" s="483">
        <f t="shared" si="29"/>
        <v>8.1923881814277927E-2</v>
      </c>
      <c r="G59" s="69"/>
      <c r="H59" s="47"/>
      <c r="I59" s="70"/>
      <c r="AM59" s="210"/>
    </row>
    <row r="60" spans="2:96">
      <c r="B60" s="101">
        <v>2060</v>
      </c>
      <c r="C60" s="191"/>
      <c r="D60" s="191"/>
      <c r="E60" s="483">
        <f t="shared" si="34"/>
        <v>2.4E-2</v>
      </c>
      <c r="F60" s="483">
        <f t="shared" si="29"/>
        <v>8.1108725570312359E-2</v>
      </c>
      <c r="G60" s="69"/>
      <c r="H60" s="47"/>
      <c r="I60" s="70"/>
      <c r="AM60" s="210"/>
    </row>
    <row r="61" spans="2:96">
      <c r="B61" s="101">
        <v>2061</v>
      </c>
      <c r="C61" s="191"/>
      <c r="D61" s="191"/>
      <c r="E61" s="483">
        <f t="shared" si="34"/>
        <v>2.4E-2</v>
      </c>
      <c r="F61" s="483">
        <f t="shared" si="29"/>
        <v>8.0301680266494646E-2</v>
      </c>
      <c r="G61" s="69"/>
      <c r="H61" s="47"/>
      <c r="I61" s="70"/>
      <c r="AM61" s="210"/>
      <c r="AT61" s="1">
        <f>COUNTIF(_xlfn.ANCHORARRAY(AT7), "Y")</f>
        <v>50</v>
      </c>
      <c r="AU61" s="1">
        <f t="shared" ref="AU61:CR61" si="56">COUNTIF(_xlfn.ANCHORARRAY(AU7), "Y")</f>
        <v>25</v>
      </c>
      <c r="AV61" s="1">
        <f t="shared" si="56"/>
        <v>16</v>
      </c>
      <c r="AW61" s="1">
        <f t="shared" si="56"/>
        <v>12</v>
      </c>
      <c r="AX61" s="1">
        <f t="shared" si="56"/>
        <v>10</v>
      </c>
      <c r="AY61" s="1">
        <f t="shared" si="56"/>
        <v>8</v>
      </c>
      <c r="AZ61" s="1">
        <f t="shared" si="56"/>
        <v>7</v>
      </c>
      <c r="BA61" s="1">
        <f t="shared" si="56"/>
        <v>6</v>
      </c>
      <c r="BB61" s="1">
        <f t="shared" si="56"/>
        <v>5</v>
      </c>
      <c r="BC61" s="1">
        <f t="shared" si="56"/>
        <v>5</v>
      </c>
      <c r="BD61" s="1">
        <f t="shared" si="56"/>
        <v>4</v>
      </c>
      <c r="BE61" s="1">
        <f t="shared" si="56"/>
        <v>4</v>
      </c>
      <c r="BF61" s="1">
        <f t="shared" si="56"/>
        <v>3</v>
      </c>
      <c r="BG61" s="1">
        <f t="shared" si="56"/>
        <v>3</v>
      </c>
      <c r="BH61" s="1">
        <f t="shared" si="56"/>
        <v>3</v>
      </c>
      <c r="BI61" s="1">
        <f t="shared" si="56"/>
        <v>3</v>
      </c>
      <c r="BJ61" s="1">
        <f t="shared" si="56"/>
        <v>2</v>
      </c>
      <c r="BK61" s="1">
        <f t="shared" si="56"/>
        <v>2</v>
      </c>
      <c r="BL61" s="1">
        <f t="shared" si="56"/>
        <v>2</v>
      </c>
      <c r="BM61" s="1">
        <f t="shared" si="56"/>
        <v>2</v>
      </c>
      <c r="BN61" s="1">
        <f t="shared" si="56"/>
        <v>2</v>
      </c>
      <c r="BO61" s="1">
        <f t="shared" si="56"/>
        <v>2</v>
      </c>
      <c r="BP61" s="1">
        <f t="shared" si="56"/>
        <v>2</v>
      </c>
      <c r="BQ61" s="1">
        <f t="shared" si="56"/>
        <v>2</v>
      </c>
      <c r="BR61" s="1">
        <f t="shared" si="56"/>
        <v>2</v>
      </c>
      <c r="BS61" s="1">
        <f t="shared" si="56"/>
        <v>1</v>
      </c>
      <c r="BT61" s="1">
        <f t="shared" si="56"/>
        <v>1</v>
      </c>
      <c r="BU61" s="1">
        <f t="shared" si="56"/>
        <v>1</v>
      </c>
      <c r="BV61" s="1">
        <f t="shared" si="56"/>
        <v>1</v>
      </c>
      <c r="BW61" s="1">
        <f t="shared" si="56"/>
        <v>1</v>
      </c>
      <c r="BX61" s="1">
        <f t="shared" si="56"/>
        <v>1</v>
      </c>
      <c r="BY61" s="1">
        <f t="shared" si="56"/>
        <v>1</v>
      </c>
      <c r="BZ61" s="1">
        <f t="shared" si="56"/>
        <v>1</v>
      </c>
      <c r="CA61" s="1">
        <f t="shared" si="56"/>
        <v>1</v>
      </c>
      <c r="CB61" s="1">
        <f t="shared" si="56"/>
        <v>1</v>
      </c>
      <c r="CC61" s="1">
        <f t="shared" si="56"/>
        <v>1</v>
      </c>
      <c r="CD61" s="1">
        <f t="shared" si="56"/>
        <v>1</v>
      </c>
      <c r="CE61" s="1">
        <f t="shared" si="56"/>
        <v>1</v>
      </c>
      <c r="CF61" s="1">
        <f t="shared" si="56"/>
        <v>1</v>
      </c>
      <c r="CG61" s="1">
        <f t="shared" si="56"/>
        <v>1</v>
      </c>
      <c r="CH61" s="1">
        <f t="shared" si="56"/>
        <v>1</v>
      </c>
      <c r="CI61" s="1">
        <f t="shared" si="56"/>
        <v>1</v>
      </c>
      <c r="CJ61" s="1">
        <f t="shared" si="56"/>
        <v>1</v>
      </c>
      <c r="CK61" s="1">
        <f t="shared" si="56"/>
        <v>1</v>
      </c>
      <c r="CL61" s="1">
        <f t="shared" si="56"/>
        <v>1</v>
      </c>
      <c r="CM61" s="1">
        <f t="shared" si="56"/>
        <v>1</v>
      </c>
      <c r="CN61" s="1">
        <f t="shared" si="56"/>
        <v>1</v>
      </c>
      <c r="CO61" s="1">
        <f t="shared" si="56"/>
        <v>1</v>
      </c>
      <c r="CP61" s="1">
        <f t="shared" ref="CP61:CQ61" si="57">COUNTIF(_xlfn.ANCHORARRAY(CP7), "Y")</f>
        <v>1</v>
      </c>
      <c r="CQ61" s="1">
        <f t="shared" si="57"/>
        <v>1</v>
      </c>
      <c r="CR61" s="1">
        <f t="shared" si="56"/>
        <v>0</v>
      </c>
    </row>
    <row r="62" spans="2:96">
      <c r="B62" s="101">
        <v>2062</v>
      </c>
      <c r="C62" s="191"/>
      <c r="D62" s="191"/>
      <c r="E62" s="483">
        <f t="shared" si="34"/>
        <v>2.4E-2</v>
      </c>
      <c r="F62" s="483">
        <f t="shared" si="29"/>
        <v>7.9502665197621863E-2</v>
      </c>
      <c r="G62" s="69"/>
      <c r="H62" s="47"/>
      <c r="I62" s="70"/>
      <c r="AM62" s="210"/>
    </row>
    <row r="63" spans="2:96">
      <c r="B63" s="101">
        <v>2063</v>
      </c>
      <c r="C63" s="191"/>
      <c r="D63" s="191"/>
      <c r="E63" s="483">
        <f t="shared" si="34"/>
        <v>2.4E-2</v>
      </c>
      <c r="F63" s="483">
        <f t="shared" si="29"/>
        <v>7.87116004615213E-2</v>
      </c>
      <c r="G63" s="69"/>
      <c r="H63" s="47"/>
      <c r="I63" s="70"/>
      <c r="AM63" s="210"/>
    </row>
    <row r="64" spans="2:96">
      <c r="B64" s="101">
        <v>2064</v>
      </c>
      <c r="C64" s="191"/>
      <c r="D64" s="191"/>
      <c r="E64" s="483">
        <f t="shared" si="34"/>
        <v>2.4E-2</v>
      </c>
      <c r="F64" s="483">
        <f t="shared" si="29"/>
        <v>7.7928406951060111E-2</v>
      </c>
      <c r="G64" s="69"/>
      <c r="H64" s="47"/>
      <c r="I64" s="70"/>
      <c r="AM64" s="210"/>
    </row>
    <row r="65" spans="2:39">
      <c r="B65" s="101">
        <v>2065</v>
      </c>
      <c r="C65" s="191"/>
      <c r="D65" s="191"/>
      <c r="E65" s="483">
        <f t="shared" si="34"/>
        <v>2.4E-2</v>
      </c>
      <c r="F65" s="483">
        <f t="shared" si="29"/>
        <v>7.7153006346234565E-2</v>
      </c>
      <c r="G65" s="69"/>
      <c r="H65" s="47"/>
      <c r="I65" s="70"/>
      <c r="AM65" s="210"/>
    </row>
    <row r="66" spans="2:39">
      <c r="B66" s="101">
        <v>2066</v>
      </c>
      <c r="C66" s="191"/>
      <c r="D66" s="191"/>
      <c r="E66" s="483">
        <f t="shared" si="34"/>
        <v>2.4E-2</v>
      </c>
      <c r="F66" s="483">
        <f t="shared" si="29"/>
        <v>7.6385321106338042E-2</v>
      </c>
      <c r="G66" s="69"/>
      <c r="H66" s="47"/>
      <c r="I66" s="70"/>
      <c r="AM66" s="210"/>
    </row>
    <row r="67" spans="2:39">
      <c r="B67" s="101">
        <v>2067</v>
      </c>
      <c r="C67" s="191"/>
      <c r="D67" s="191"/>
      <c r="E67" s="483">
        <f t="shared" si="34"/>
        <v>2.4E-2</v>
      </c>
      <c r="F67" s="483">
        <f t="shared" si="29"/>
        <v>7.5625274462206793E-2</v>
      </c>
      <c r="G67" s="69"/>
      <c r="H67" s="47"/>
      <c r="I67" s="70"/>
      <c r="AM67" s="210"/>
    </row>
    <row r="68" spans="2:39">
      <c r="B68" s="101">
        <v>2068</v>
      </c>
      <c r="C68" s="191"/>
      <c r="D68" s="191"/>
      <c r="E68" s="483">
        <f t="shared" si="34"/>
        <v>2.4E-2</v>
      </c>
      <c r="F68" s="483">
        <f t="shared" si="29"/>
        <v>7.4872790408543041E-2</v>
      </c>
      <c r="G68" s="69"/>
      <c r="H68" s="47"/>
      <c r="I68" s="70"/>
      <c r="AM68" s="210"/>
    </row>
    <row r="69" spans="2:39">
      <c r="B69" s="101">
        <v>2069</v>
      </c>
      <c r="C69" s="191"/>
      <c r="D69" s="191"/>
      <c r="E69" s="483">
        <f t="shared" si="34"/>
        <v>2.4E-2</v>
      </c>
      <c r="F69" s="483">
        <f t="shared" si="29"/>
        <v>7.4127793696314351E-2</v>
      </c>
      <c r="G69" s="69"/>
      <c r="H69" s="47"/>
      <c r="I69" s="70"/>
      <c r="AM69" s="210"/>
    </row>
    <row r="70" spans="2:39">
      <c r="B70" s="101">
        <v>2070</v>
      </c>
      <c r="C70" s="191"/>
      <c r="D70" s="191"/>
      <c r="E70" s="483">
        <f t="shared" si="34"/>
        <v>2.4E-2</v>
      </c>
      <c r="F70" s="483">
        <f t="shared" si="29"/>
        <v>7.3390209825228647E-2</v>
      </c>
      <c r="G70" s="69"/>
      <c r="H70" s="47"/>
      <c r="I70" s="70"/>
      <c r="AM70" s="210"/>
    </row>
    <row r="71" spans="2:39">
      <c r="B71" s="101">
        <v>2071</v>
      </c>
      <c r="C71" s="191"/>
      <c r="D71" s="191"/>
      <c r="E71" s="483">
        <f t="shared" si="34"/>
        <v>2.4E-2</v>
      </c>
      <c r="F71" s="483">
        <f t="shared" si="29"/>
        <v>7.2659965036284177E-2</v>
      </c>
      <c r="G71" s="69"/>
      <c r="H71" s="47"/>
      <c r="I71" s="70"/>
      <c r="AM71" s="210"/>
    </row>
    <row r="72" spans="2:39">
      <c r="B72" s="101">
        <v>2072</v>
      </c>
      <c r="C72" s="191"/>
      <c r="D72" s="191"/>
      <c r="E72" s="483">
        <f t="shared" si="34"/>
        <v>2.4E-2</v>
      </c>
      <c r="F72" s="483">
        <f t="shared" si="29"/>
        <v>7.1936986304393519E-2</v>
      </c>
      <c r="G72" s="69"/>
      <c r="H72" s="47"/>
      <c r="I72" s="70"/>
      <c r="AM72" s="210"/>
    </row>
    <row r="73" spans="2:39">
      <c r="B73" s="101">
        <v>2073</v>
      </c>
      <c r="C73" s="191"/>
      <c r="D73" s="191"/>
      <c r="E73" s="483">
        <f t="shared" si="34"/>
        <v>2.4E-2</v>
      </c>
      <c r="F73" s="483">
        <f t="shared" si="29"/>
        <v>7.122120133108098E-2</v>
      </c>
      <c r="G73" s="69"/>
      <c r="H73" s="47"/>
      <c r="I73" s="70"/>
      <c r="AM73" s="210"/>
    </row>
    <row r="74" spans="2:39">
      <c r="B74" s="101">
        <v>2074</v>
      </c>
      <c r="C74" s="191"/>
      <c r="D74" s="191"/>
      <c r="E74" s="483">
        <f t="shared" si="34"/>
        <v>2.4E-2</v>
      </c>
      <c r="F74" s="483">
        <f t="shared" si="29"/>
        <v>7.0512538537252742E-2</v>
      </c>
      <c r="G74" s="69"/>
      <c r="H74" s="47"/>
      <c r="I74" s="70"/>
      <c r="AM74" s="210"/>
    </row>
    <row r="75" spans="2:39">
      <c r="B75" s="101">
        <v>2075</v>
      </c>
      <c r="C75" s="191"/>
      <c r="D75" s="191"/>
      <c r="E75" s="483">
        <f t="shared" si="34"/>
        <v>2.4E-2</v>
      </c>
      <c r="F75" s="483">
        <f t="shared" si="29"/>
        <v>6.9810927056038877E-2</v>
      </c>
      <c r="G75" s="69"/>
      <c r="H75" s="47"/>
      <c r="I75" s="70"/>
      <c r="AM75" s="210"/>
    </row>
    <row r="76" spans="2:39">
      <c r="B76" s="101">
        <v>2076</v>
      </c>
      <c r="C76" s="191"/>
      <c r="D76" s="191"/>
      <c r="E76" s="483">
        <f t="shared" si="34"/>
        <v>2.4E-2</v>
      </c>
      <c r="F76" s="483">
        <f t="shared" si="29"/>
        <v>6.91162967257066E-2</v>
      </c>
      <c r="G76" s="69"/>
      <c r="H76" s="47"/>
      <c r="I76" s="70"/>
      <c r="AM76" s="210"/>
    </row>
    <row r="77" spans="2:39">
      <c r="B77" s="101">
        <v>2077</v>
      </c>
      <c r="C77" s="191"/>
      <c r="D77" s="191"/>
      <c r="E77" s="483">
        <f t="shared" si="34"/>
        <v>2.4E-2</v>
      </c>
      <c r="F77" s="483">
        <f t="shared" si="29"/>
        <v>6.8428578082643979E-2</v>
      </c>
      <c r="G77" s="69"/>
      <c r="H77" s="47"/>
      <c r="I77" s="70"/>
      <c r="AM77" s="210"/>
    </row>
    <row r="78" spans="2:39">
      <c r="B78" s="101">
        <v>2078</v>
      </c>
      <c r="C78" s="191"/>
      <c r="D78" s="191"/>
      <c r="E78" s="483">
        <f t="shared" si="34"/>
        <v>2.4E-2</v>
      </c>
      <c r="F78" s="483">
        <f t="shared" si="29"/>
        <v>6.7747702354413644E-2</v>
      </c>
      <c r="G78" s="69"/>
      <c r="H78" s="47"/>
      <c r="I78" s="70"/>
      <c r="AM78" s="210"/>
    </row>
    <row r="79" spans="2:39">
      <c r="B79" s="101">
        <v>2079</v>
      </c>
      <c r="C79" s="191"/>
      <c r="D79" s="191"/>
      <c r="E79" s="483">
        <f t="shared" si="34"/>
        <v>2.4E-2</v>
      </c>
      <c r="F79" s="483">
        <f t="shared" si="29"/>
        <v>6.7073601452875359E-2</v>
      </c>
      <c r="G79" s="69"/>
      <c r="H79" s="47"/>
      <c r="I79" s="70"/>
      <c r="AM79" s="210"/>
    </row>
    <row r="80" spans="2:39">
      <c r="B80" s="500">
        <v>2080</v>
      </c>
      <c r="C80" s="501"/>
      <c r="D80" s="501"/>
      <c r="E80" s="502">
        <f t="shared" si="34"/>
        <v>2.4E-2</v>
      </c>
      <c r="F80" s="502">
        <f>F$20*EXP(-0.01*(B80-B$20))</f>
        <v>6.6406207967377187E-2</v>
      </c>
      <c r="G80" s="503"/>
      <c r="H80" s="504"/>
      <c r="I80" s="505"/>
      <c r="AM80" s="210"/>
    </row>
    <row r="81" spans="39:39">
      <c r="AM81" s="210"/>
    </row>
    <row r="82" spans="39:39">
      <c r="AM82" s="210"/>
    </row>
    <row r="83" spans="39:39">
      <c r="AM83" s="210"/>
    </row>
    <row r="84" spans="39:39">
      <c r="AM84" s="210"/>
    </row>
    <row r="85" spans="39:39">
      <c r="AM85" s="210"/>
    </row>
    <row r="86" spans="39:39">
      <c r="AM86" s="210"/>
    </row>
    <row r="87" spans="39:39">
      <c r="AM87" s="210"/>
    </row>
    <row r="88" spans="39:39">
      <c r="AM88" s="210"/>
    </row>
    <row r="89" spans="39:39">
      <c r="AM89" s="210"/>
    </row>
    <row r="90" spans="39:39">
      <c r="AM90" s="210"/>
    </row>
    <row r="91" spans="39:39">
      <c r="AM91" s="210"/>
    </row>
    <row r="92" spans="39:39">
      <c r="AM92" s="210"/>
    </row>
    <row r="93" spans="39:39">
      <c r="AM93" s="210"/>
    </row>
    <row r="94" spans="39:39">
      <c r="AM94" s="210"/>
    </row>
    <row r="95" spans="39:39">
      <c r="AM95" s="210"/>
    </row>
    <row r="96" spans="39:39">
      <c r="AM96" s="210"/>
    </row>
    <row r="97" spans="39:39">
      <c r="AM97" s="210"/>
    </row>
    <row r="98" spans="39:39">
      <c r="AM98" s="210"/>
    </row>
    <row r="99" spans="39:39">
      <c r="AM99" s="210"/>
    </row>
    <row r="100" spans="39:39">
      <c r="AM100" s="210"/>
    </row>
    <row r="101" spans="39:39">
      <c r="AM101" s="210"/>
    </row>
    <row r="102" spans="39:39">
      <c r="AM102" s="210"/>
    </row>
    <row r="103" spans="39:39">
      <c r="AM103" s="210"/>
    </row>
    <row r="104" spans="39:39">
      <c r="AM104" s="210"/>
    </row>
    <row r="105" spans="39:39">
      <c r="AM105" s="210"/>
    </row>
    <row r="106" spans="39:39">
      <c r="AM106" s="210"/>
    </row>
    <row r="107" spans="39:39">
      <c r="AM107" s="210"/>
    </row>
    <row r="108" spans="39:39">
      <c r="AM108" s="210"/>
    </row>
  </sheetData>
  <sheetProtection algorithmName="SHA-512" hashValue="+s6YGo9I1rXufQxXpuL2YZO0d5rXkv/QXBHTjmrVsFeyjlMf7a+rBHHO4Y668dxrFsLv4T7IP+3qRcleag1JWQ==" saltValue="2XMti0QOZmIWORQmktaQMw==" spinCount="100000" sheet="1" objects="1" scenarios="1"/>
  <mergeCells count="2">
    <mergeCell ref="C18:F18"/>
    <mergeCell ref="G18:I18"/>
  </mergeCells>
  <phoneticPr fontId="32" type="noConversion"/>
  <pageMargins left="0.7" right="0.7" top="0.75" bottom="0.75" header="0.3" footer="0.3"/>
  <headerFooter>
    <oddFooter>&amp;C_x000D_&amp;1#&amp;"Verdana"&amp;7&amp;K000000 Confidential</oddFooter>
  </headerFooter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84C26-A41B-7840-B23B-555FAA5E4466}">
  <sheetPr codeName="Sheet15"/>
  <dimension ref="A2:CP118"/>
  <sheetViews>
    <sheetView zoomScale="90" zoomScaleNormal="90" workbookViewId="0">
      <selection activeCell="A2" sqref="A2:A3"/>
    </sheetView>
  </sheetViews>
  <sheetFormatPr defaultColWidth="34.625" defaultRowHeight="15"/>
  <cols>
    <col min="1" max="1" width="34.625" style="1"/>
    <col min="2" max="2" width="34.875" style="1" bestFit="1" customWidth="1"/>
    <col min="3" max="3" width="5.125" style="1" bestFit="1" customWidth="1"/>
    <col min="4" max="4" width="6.375" style="1" bestFit="1" customWidth="1"/>
    <col min="5" max="5" width="5.125" style="1" bestFit="1" customWidth="1"/>
    <col min="6" max="6" width="8.125" style="1" customWidth="1"/>
    <col min="7" max="7" width="5.625" style="1" bestFit="1" customWidth="1"/>
    <col min="8" max="8" width="10.5" style="1" customWidth="1"/>
    <col min="9" max="9" width="8" style="1" bestFit="1" customWidth="1"/>
    <col min="10" max="10" width="8" style="215" bestFit="1" customWidth="1"/>
    <col min="11" max="11" width="7.875" style="210" bestFit="1" customWidth="1"/>
    <col min="12" max="12" width="34.625" style="210" customWidth="1"/>
    <col min="13" max="37" width="34.625" style="210"/>
    <col min="38" max="16384" width="34.625" style="1"/>
  </cols>
  <sheetData>
    <row r="2" spans="1:94" ht="27.95">
      <c r="A2" s="10" t="s">
        <v>472</v>
      </c>
    </row>
    <row r="3" spans="1:94">
      <c r="A3" s="1" t="s">
        <v>550</v>
      </c>
    </row>
    <row r="5" spans="1:94"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94" ht="114.95">
      <c r="B6" s="246" t="s">
        <v>596</v>
      </c>
      <c r="C6" s="213" t="s">
        <v>597</v>
      </c>
      <c r="D6" s="213" t="s">
        <v>598</v>
      </c>
      <c r="E6" s="217" t="s">
        <v>599</v>
      </c>
      <c r="G6" s="254" t="s">
        <v>600</v>
      </c>
      <c r="H6" s="255" t="s">
        <v>601</v>
      </c>
      <c r="J6" s="1"/>
      <c r="K6" s="1"/>
      <c r="L6" s="1"/>
      <c r="M6" s="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94">
      <c r="B7" s="247" t="s">
        <v>100</v>
      </c>
      <c r="C7" s="244">
        <v>0.67</v>
      </c>
      <c r="D7" s="244">
        <v>30.4</v>
      </c>
      <c r="E7" s="245">
        <v>4.96</v>
      </c>
      <c r="G7" s="247">
        <v>2020</v>
      </c>
      <c r="H7" s="252">
        <v>0.5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94">
      <c r="B8" s="248" t="s">
        <v>602</v>
      </c>
      <c r="C8" s="206">
        <v>0.67</v>
      </c>
      <c r="D8" s="206">
        <v>57</v>
      </c>
      <c r="E8" s="207">
        <v>4.96</v>
      </c>
      <c r="G8" s="247">
        <v>2021</v>
      </c>
      <c r="H8" s="252">
        <f t="shared" ref="H8:H14" si="0">H$7-(G8-G$7)*(H$7-H$17)/(G$17-G$7)</f>
        <v>0.47369</v>
      </c>
      <c r="I8" s="257"/>
      <c r="J8" s="1"/>
      <c r="K8" s="25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1:94">
      <c r="B9" s="248" t="s">
        <v>104</v>
      </c>
      <c r="C9" s="206">
        <v>0.67</v>
      </c>
      <c r="D9" s="206" cm="1">
        <f t="array" ref="D9">3.25*(1.73+Dybde_til_fjell)</f>
        <v>5.6224999999999996</v>
      </c>
      <c r="E9" s="207">
        <v>6.96</v>
      </c>
      <c r="G9" s="247">
        <v>2022</v>
      </c>
      <c r="H9" s="252">
        <f t="shared" si="0"/>
        <v>0.44738</v>
      </c>
      <c r="I9" s="257"/>
      <c r="J9" s="1"/>
      <c r="K9" s="25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1:94">
      <c r="B10" s="249" t="s">
        <v>105</v>
      </c>
      <c r="C10" s="208">
        <v>0.42699999999999999</v>
      </c>
      <c r="D10" s="208"/>
      <c r="E10" s="209">
        <v>0.42699999999999999</v>
      </c>
      <c r="G10" s="247">
        <v>2023</v>
      </c>
      <c r="H10" s="252">
        <f>H$7-(G10-G$7)*(H$7-H$17)/(G$17-G$7)</f>
        <v>0.42107</v>
      </c>
      <c r="I10" s="257"/>
      <c r="J10" s="1"/>
      <c r="K10" s="25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</row>
    <row r="11" spans="1:94">
      <c r="G11" s="247">
        <v>2024</v>
      </c>
      <c r="H11" s="252">
        <f t="shared" si="0"/>
        <v>0.39476</v>
      </c>
      <c r="I11" s="257"/>
      <c r="J11" s="1"/>
      <c r="K11" s="25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0"/>
      <c r="BN11" s="210"/>
      <c r="BO11" s="210"/>
      <c r="BP11" s="210"/>
      <c r="BQ11" s="210"/>
      <c r="BR11" s="210"/>
      <c r="BS11" s="210"/>
      <c r="BT11" s="210"/>
      <c r="BU11" s="210"/>
      <c r="BV11" s="210"/>
      <c r="BW11" s="210"/>
      <c r="BX11" s="210"/>
      <c r="BY11" s="210"/>
      <c r="BZ11" s="210"/>
      <c r="CA11" s="210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</row>
    <row r="12" spans="1:94">
      <c r="B12" s="531" t="s">
        <v>603</v>
      </c>
      <c r="G12" s="247">
        <v>2025</v>
      </c>
      <c r="H12" s="252">
        <f t="shared" si="0"/>
        <v>0.36845</v>
      </c>
      <c r="I12" s="257"/>
      <c r="J12" s="1"/>
      <c r="K12" s="25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</row>
    <row r="13" spans="1:94">
      <c r="B13" s="531" t="s">
        <v>604</v>
      </c>
      <c r="G13" s="247">
        <v>2026</v>
      </c>
      <c r="H13" s="252">
        <f t="shared" si="0"/>
        <v>0.34214</v>
      </c>
      <c r="I13" s="257"/>
      <c r="J13" s="1"/>
      <c r="K13" s="25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</row>
    <row r="14" spans="1:94">
      <c r="G14" s="247">
        <v>2027</v>
      </c>
      <c r="H14" s="252">
        <f t="shared" si="0"/>
        <v>0.31583</v>
      </c>
      <c r="I14" s="257"/>
      <c r="J14" s="1"/>
      <c r="K14" s="25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</row>
    <row r="15" spans="1:94">
      <c r="G15" s="247">
        <v>2028</v>
      </c>
      <c r="H15" s="252">
        <f>H$7-(G15-G$7)*(H$7-H$17)/(G$17-G$7)</f>
        <v>0.28952</v>
      </c>
      <c r="I15" s="257"/>
      <c r="J15" s="1"/>
      <c r="K15" s="25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</row>
    <row r="16" spans="1:94">
      <c r="G16" s="247">
        <v>2029</v>
      </c>
      <c r="H16" s="252">
        <f>H$7-(G16-G$7)*(H$7-H$17)/(G$17-G$7)</f>
        <v>0.26321</v>
      </c>
      <c r="I16" s="257"/>
      <c r="J16" s="1"/>
      <c r="K16" s="25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</row>
    <row r="17" spans="7:90">
      <c r="G17" s="253">
        <v>2030</v>
      </c>
      <c r="H17" s="252">
        <v>0.2369</v>
      </c>
      <c r="I17" s="257"/>
      <c r="J17" s="1"/>
      <c r="K17" s="25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</row>
    <row r="18" spans="7:90">
      <c r="G18" s="247">
        <v>2031</v>
      </c>
      <c r="H18" s="252">
        <f>H$17-(G18-G$17)*(H$17-H$37)/(G$37-G$17)</f>
        <v>0.226885</v>
      </c>
      <c r="I18" s="257"/>
      <c r="J18" s="1"/>
      <c r="K18" s="25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</row>
    <row r="19" spans="7:90">
      <c r="G19" s="253">
        <v>2032</v>
      </c>
      <c r="H19" s="252">
        <f t="shared" ref="H19:H36" si="1">H$17-(G19-G$17)*(H$17-H$37)/(G$37-G$17)</f>
        <v>0.21687000000000001</v>
      </c>
      <c r="I19" s="257"/>
      <c r="J19" s="1"/>
      <c r="K19" s="25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</row>
    <row r="20" spans="7:90">
      <c r="G20" s="247">
        <v>2033</v>
      </c>
      <c r="H20" s="252">
        <f t="shared" si="1"/>
        <v>0.20685500000000001</v>
      </c>
      <c r="I20" s="257"/>
      <c r="J20" s="1"/>
      <c r="K20" s="25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</row>
    <row r="21" spans="7:90">
      <c r="G21" s="253">
        <v>2034</v>
      </c>
      <c r="H21" s="252">
        <f t="shared" si="1"/>
        <v>0.19684000000000001</v>
      </c>
      <c r="I21" s="257"/>
      <c r="J21" s="1"/>
      <c r="K21" s="25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</row>
    <row r="22" spans="7:90">
      <c r="G22" s="247">
        <v>2035</v>
      </c>
      <c r="H22" s="252">
        <f t="shared" si="1"/>
        <v>0.18682499999999999</v>
      </c>
      <c r="I22" s="257"/>
      <c r="J22" s="1"/>
      <c r="K22" s="25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</row>
    <row r="23" spans="7:90">
      <c r="G23" s="253">
        <v>2036</v>
      </c>
      <c r="H23" s="252">
        <f t="shared" si="1"/>
        <v>0.17680999999999999</v>
      </c>
      <c r="I23" s="257"/>
      <c r="J23" s="1"/>
      <c r="K23" s="25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BC23" s="210"/>
      <c r="BD23" s="210"/>
      <c r="BE23" s="210"/>
      <c r="BF23" s="210"/>
      <c r="BG23" s="210"/>
      <c r="BH23" s="210"/>
      <c r="BI23" s="210"/>
      <c r="BJ23" s="210"/>
      <c r="BK23" s="210"/>
      <c r="BL23" s="210"/>
      <c r="BM23" s="210"/>
      <c r="BN23" s="210"/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</row>
    <row r="24" spans="7:90">
      <c r="G24" s="247">
        <v>2037</v>
      </c>
      <c r="H24" s="252">
        <f t="shared" si="1"/>
        <v>0.166795</v>
      </c>
      <c r="I24" s="257"/>
      <c r="J24" s="1"/>
      <c r="K24" s="25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</row>
    <row r="25" spans="7:90">
      <c r="G25" s="253">
        <v>2038</v>
      </c>
      <c r="H25" s="252">
        <f t="shared" si="1"/>
        <v>0.15678</v>
      </c>
      <c r="I25" s="257"/>
      <c r="J25" s="1"/>
      <c r="K25" s="25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BC25" s="210"/>
      <c r="BD25" s="210"/>
      <c r="BE25" s="210"/>
      <c r="BF25" s="210"/>
      <c r="BG25" s="210"/>
      <c r="BH25" s="210"/>
      <c r="BI25" s="210"/>
      <c r="BJ25" s="210"/>
      <c r="BK25" s="210"/>
      <c r="BL25" s="210"/>
      <c r="BM25" s="210"/>
      <c r="BN25" s="210"/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210"/>
      <c r="CB25" s="210"/>
      <c r="CC25" s="210"/>
      <c r="CD25" s="210"/>
      <c r="CE25" s="210"/>
      <c r="CF25" s="210"/>
      <c r="CG25" s="210"/>
      <c r="CH25" s="210"/>
      <c r="CI25" s="210"/>
      <c r="CJ25" s="210"/>
      <c r="CK25" s="210"/>
      <c r="CL25" s="210"/>
    </row>
    <row r="26" spans="7:90">
      <c r="G26" s="247">
        <v>2039</v>
      </c>
      <c r="H26" s="252">
        <f t="shared" si="1"/>
        <v>0.14676500000000001</v>
      </c>
      <c r="I26" s="257"/>
      <c r="J26" s="1"/>
      <c r="K26" s="25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BC26" s="210"/>
      <c r="BD26" s="210"/>
      <c r="BE26" s="210"/>
      <c r="BF26" s="210"/>
      <c r="BG26" s="210"/>
      <c r="BH26" s="210"/>
      <c r="BI26" s="210"/>
      <c r="BJ26" s="210"/>
      <c r="BK26" s="210"/>
      <c r="BL26" s="210"/>
      <c r="BM26" s="210"/>
      <c r="BN26" s="210"/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210"/>
      <c r="CB26" s="210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</row>
    <row r="27" spans="7:90">
      <c r="G27" s="253">
        <v>2040</v>
      </c>
      <c r="H27" s="252">
        <f t="shared" si="1"/>
        <v>0.13674999999999998</v>
      </c>
      <c r="I27" s="257"/>
      <c r="J27" s="1"/>
      <c r="K27" s="25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</row>
    <row r="28" spans="7:90">
      <c r="G28" s="247">
        <v>2041</v>
      </c>
      <c r="H28" s="252">
        <f t="shared" si="1"/>
        <v>0.12673499999999999</v>
      </c>
      <c r="I28" s="257"/>
      <c r="J28" s="1"/>
      <c r="K28" s="25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</row>
    <row r="29" spans="7:90">
      <c r="G29" s="253">
        <v>2042</v>
      </c>
      <c r="H29" s="252">
        <f t="shared" si="1"/>
        <v>0.11672</v>
      </c>
      <c r="I29" s="257"/>
      <c r="J29" s="1"/>
      <c r="K29" s="25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BC29" s="210"/>
      <c r="BD29" s="210"/>
      <c r="BE29" s="210"/>
      <c r="BF29" s="210"/>
      <c r="BG29" s="210"/>
      <c r="BH29" s="210"/>
      <c r="BI29" s="210"/>
      <c r="BJ29" s="210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</row>
    <row r="30" spans="7:90">
      <c r="G30" s="247">
        <v>2043</v>
      </c>
      <c r="H30" s="252">
        <f t="shared" si="1"/>
        <v>0.10670499999999999</v>
      </c>
      <c r="I30" s="257"/>
      <c r="J30" s="1"/>
      <c r="K30" s="25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CD30" s="210"/>
      <c r="CE30" s="210"/>
      <c r="CF30" s="210"/>
      <c r="CG30" s="210"/>
      <c r="CH30" s="210"/>
      <c r="CI30" s="210"/>
      <c r="CJ30" s="210"/>
      <c r="CK30" s="210"/>
      <c r="CL30" s="210"/>
    </row>
    <row r="31" spans="7:90">
      <c r="G31" s="253">
        <v>2044</v>
      </c>
      <c r="H31" s="252">
        <f t="shared" si="1"/>
        <v>9.6689999999999998E-2</v>
      </c>
      <c r="I31" s="257"/>
      <c r="J31" s="1"/>
      <c r="K31" s="25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</row>
    <row r="32" spans="7:90">
      <c r="G32" s="247">
        <v>2045</v>
      </c>
      <c r="H32" s="252">
        <f t="shared" si="1"/>
        <v>8.6675000000000002E-2</v>
      </c>
      <c r="I32" s="257"/>
      <c r="J32" s="1"/>
      <c r="K32" s="25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</row>
    <row r="33" spans="7:90">
      <c r="G33" s="253">
        <v>2046</v>
      </c>
      <c r="H33" s="252">
        <f t="shared" si="1"/>
        <v>7.6660000000000006E-2</v>
      </c>
      <c r="I33" s="257"/>
      <c r="J33" s="1"/>
      <c r="K33" s="25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</row>
    <row r="34" spans="7:90">
      <c r="G34" s="247">
        <v>2047</v>
      </c>
      <c r="H34" s="252">
        <f t="shared" si="1"/>
        <v>6.664500000000001E-2</v>
      </c>
      <c r="I34" s="257"/>
      <c r="J34" s="1"/>
      <c r="K34" s="25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</row>
    <row r="35" spans="7:90">
      <c r="G35" s="253">
        <v>2048</v>
      </c>
      <c r="H35" s="252">
        <f t="shared" si="1"/>
        <v>5.6630000000000014E-2</v>
      </c>
      <c r="I35" s="257"/>
      <c r="J35" s="1"/>
      <c r="K35" s="25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</row>
    <row r="36" spans="7:90">
      <c r="G36" s="247">
        <v>2049</v>
      </c>
      <c r="H36" s="252">
        <f t="shared" si="1"/>
        <v>4.661499999999999E-2</v>
      </c>
      <c r="I36" s="257"/>
      <c r="J36" s="1"/>
      <c r="K36" s="25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BC36" s="210"/>
      <c r="BD36" s="210"/>
      <c r="BE36" s="210"/>
      <c r="BF36" s="210"/>
      <c r="BG36" s="210"/>
      <c r="BH36" s="210"/>
      <c r="BI36" s="210"/>
      <c r="BJ36" s="210"/>
      <c r="BK36" s="210"/>
      <c r="BL36" s="210"/>
      <c r="BM36" s="210"/>
      <c r="BN36" s="210"/>
      <c r="BO36" s="210"/>
      <c r="BP36" s="210"/>
      <c r="BQ36" s="210"/>
      <c r="BR36" s="210"/>
      <c r="BS36" s="210"/>
      <c r="BT36" s="210"/>
      <c r="BU36" s="210"/>
      <c r="BV36" s="210"/>
      <c r="BW36" s="210"/>
      <c r="BX36" s="210"/>
      <c r="BY36" s="210"/>
      <c r="BZ36" s="210"/>
      <c r="CA36" s="210"/>
      <c r="CB36" s="210"/>
      <c r="CC36" s="210"/>
      <c r="CD36" s="210"/>
      <c r="CE36" s="210"/>
      <c r="CF36" s="210"/>
      <c r="CG36" s="210"/>
      <c r="CH36" s="210"/>
      <c r="CI36" s="210"/>
      <c r="CJ36" s="210"/>
      <c r="CK36" s="210"/>
      <c r="CL36" s="210"/>
    </row>
    <row r="37" spans="7:90">
      <c r="G37" s="253">
        <v>2050</v>
      </c>
      <c r="H37" s="256">
        <v>3.6600000000000001E-2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</row>
    <row r="38" spans="7:90"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BC38" s="210"/>
      <c r="BD38" s="210"/>
      <c r="BE38" s="210"/>
      <c r="BF38" s="210"/>
      <c r="BG38" s="210"/>
      <c r="BH38" s="210"/>
      <c r="BI38" s="210"/>
      <c r="BJ38" s="210"/>
      <c r="BK38" s="210"/>
      <c r="BL38" s="210"/>
      <c r="BM38" s="210"/>
      <c r="BN38" s="210"/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</row>
    <row r="39" spans="7:90"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BC39" s="210"/>
      <c r="BD39" s="210"/>
      <c r="BE39" s="210"/>
      <c r="BF39" s="210"/>
      <c r="BG39" s="210"/>
      <c r="BH39" s="210"/>
      <c r="BI39" s="210"/>
      <c r="BJ39" s="210"/>
      <c r="BK39" s="210"/>
      <c r="BL39" s="210"/>
      <c r="BM39" s="210"/>
      <c r="BN39" s="210"/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0"/>
      <c r="CE39" s="210"/>
      <c r="CF39" s="210"/>
      <c r="CG39" s="210"/>
      <c r="CH39" s="210"/>
      <c r="CI39" s="210"/>
      <c r="CJ39" s="210"/>
      <c r="CK39" s="210"/>
      <c r="CL39" s="210"/>
    </row>
    <row r="40" spans="7:90"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210"/>
      <c r="BS40" s="210"/>
      <c r="BT40" s="210"/>
      <c r="BU40" s="210"/>
      <c r="BV40" s="210"/>
      <c r="BW40" s="210"/>
      <c r="BX40" s="210"/>
      <c r="BY40" s="210"/>
      <c r="BZ40" s="210"/>
      <c r="CA40" s="210"/>
      <c r="CB40" s="210"/>
      <c r="CC40" s="210"/>
      <c r="CD40" s="210"/>
      <c r="CE40" s="210"/>
      <c r="CF40" s="210"/>
      <c r="CG40" s="210"/>
      <c r="CH40" s="210"/>
      <c r="CI40" s="210"/>
      <c r="CJ40" s="210"/>
      <c r="CK40" s="210"/>
      <c r="CL40" s="210"/>
    </row>
    <row r="41" spans="7:90"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BC41" s="210"/>
      <c r="BD41" s="210"/>
      <c r="BE41" s="210"/>
      <c r="BF41" s="210"/>
      <c r="BG41" s="210"/>
      <c r="BH41" s="210"/>
      <c r="BI41" s="210"/>
      <c r="BJ41" s="210"/>
      <c r="BK41" s="210"/>
      <c r="BL41" s="210"/>
      <c r="BM41" s="210"/>
      <c r="BN41" s="210"/>
      <c r="BO41" s="210"/>
      <c r="BP41" s="210"/>
      <c r="BQ41" s="210"/>
      <c r="BR41" s="210"/>
      <c r="BS41" s="210"/>
      <c r="BT41" s="210"/>
      <c r="BU41" s="210"/>
      <c r="BV41" s="210"/>
      <c r="BW41" s="210"/>
      <c r="BX41" s="210"/>
      <c r="BY41" s="210"/>
      <c r="BZ41" s="210"/>
      <c r="CA41" s="210"/>
      <c r="CB41" s="210"/>
      <c r="CC41" s="210"/>
      <c r="CD41" s="210"/>
      <c r="CE41" s="210"/>
      <c r="CF41" s="210"/>
      <c r="CG41" s="210"/>
      <c r="CH41" s="210"/>
      <c r="CI41" s="210"/>
      <c r="CJ41" s="210"/>
      <c r="CK41" s="210"/>
      <c r="CL41" s="210"/>
    </row>
    <row r="42" spans="7:90"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</row>
    <row r="43" spans="7:90"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0"/>
      <c r="BN43" s="210"/>
      <c r="BO43" s="210"/>
      <c r="BP43" s="210"/>
      <c r="BQ43" s="210"/>
      <c r="BR43" s="210"/>
      <c r="BS43" s="210"/>
      <c r="BT43" s="210"/>
      <c r="BU43" s="210"/>
      <c r="BV43" s="210"/>
      <c r="BW43" s="210"/>
      <c r="BX43" s="210"/>
      <c r="BY43" s="210"/>
      <c r="BZ43" s="210"/>
      <c r="CA43" s="210"/>
      <c r="CB43" s="210"/>
      <c r="CC43" s="210"/>
      <c r="CD43" s="210"/>
      <c r="CE43" s="210"/>
      <c r="CF43" s="210"/>
      <c r="CG43" s="210"/>
      <c r="CH43" s="210"/>
      <c r="CI43" s="210"/>
      <c r="CJ43" s="210"/>
      <c r="CK43" s="210"/>
      <c r="CL43" s="210"/>
    </row>
    <row r="44" spans="7:90"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0"/>
      <c r="BN44" s="210"/>
      <c r="BO44" s="210"/>
      <c r="BP44" s="210"/>
      <c r="BQ44" s="210"/>
      <c r="BR44" s="210"/>
      <c r="BS44" s="210"/>
      <c r="BT44" s="210"/>
      <c r="BU44" s="210"/>
      <c r="BV44" s="210"/>
      <c r="BW44" s="210"/>
      <c r="BX44" s="210"/>
      <c r="BY44" s="210"/>
      <c r="BZ44" s="210"/>
      <c r="CA44" s="210"/>
      <c r="CB44" s="210"/>
      <c r="CC44" s="210"/>
      <c r="CD44" s="210"/>
      <c r="CE44" s="210"/>
      <c r="CF44" s="210"/>
      <c r="CG44" s="210"/>
      <c r="CH44" s="210"/>
      <c r="CI44" s="210"/>
      <c r="CJ44" s="210"/>
      <c r="CK44" s="210"/>
      <c r="CL44" s="210"/>
    </row>
    <row r="45" spans="7:90"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0"/>
      <c r="BN45" s="210"/>
      <c r="BO45" s="210"/>
      <c r="BP45" s="210"/>
      <c r="BQ45" s="210"/>
      <c r="BR45" s="210"/>
      <c r="BS45" s="210"/>
      <c r="BT45" s="210"/>
      <c r="BU45" s="210"/>
      <c r="BV45" s="210"/>
      <c r="BW45" s="210"/>
      <c r="BX45" s="210"/>
      <c r="BY45" s="210"/>
      <c r="BZ45" s="210"/>
      <c r="CA45" s="210"/>
      <c r="CB45" s="210"/>
      <c r="CC45" s="210"/>
      <c r="CD45" s="210"/>
      <c r="CE45" s="210"/>
      <c r="CF45" s="210"/>
      <c r="CG45" s="210"/>
      <c r="CH45" s="210"/>
      <c r="CI45" s="210"/>
      <c r="CJ45" s="210"/>
      <c r="CK45" s="210"/>
      <c r="CL45" s="210"/>
    </row>
    <row r="46" spans="7:90"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0"/>
      <c r="BN46" s="210"/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10"/>
      <c r="CD46" s="210"/>
      <c r="CE46" s="210"/>
      <c r="CF46" s="210"/>
      <c r="CG46" s="210"/>
      <c r="CH46" s="210"/>
      <c r="CI46" s="210"/>
      <c r="CJ46" s="210"/>
      <c r="CK46" s="210"/>
      <c r="CL46" s="210"/>
    </row>
    <row r="47" spans="7:90"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10"/>
      <c r="CD47" s="210"/>
      <c r="CE47" s="210"/>
      <c r="CF47" s="210"/>
      <c r="CG47" s="210"/>
      <c r="CH47" s="210"/>
      <c r="CI47" s="210"/>
      <c r="CJ47" s="210"/>
      <c r="CK47" s="210"/>
      <c r="CL47" s="210"/>
    </row>
    <row r="48" spans="7:90"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0"/>
      <c r="BN48" s="210"/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10"/>
      <c r="CD48" s="210"/>
      <c r="CE48" s="210"/>
      <c r="CF48" s="210"/>
      <c r="CG48" s="210"/>
      <c r="CH48" s="210"/>
      <c r="CI48" s="210"/>
      <c r="CJ48" s="210"/>
      <c r="CK48" s="210"/>
      <c r="CL48" s="210"/>
    </row>
    <row r="49" spans="10:90"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10"/>
      <c r="CD49" s="210"/>
      <c r="CE49" s="210"/>
      <c r="CF49" s="210"/>
      <c r="CG49" s="210"/>
      <c r="CH49" s="210"/>
      <c r="CI49" s="210"/>
      <c r="CJ49" s="210"/>
      <c r="CK49" s="210"/>
      <c r="CL49" s="210"/>
    </row>
    <row r="50" spans="10:90"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</row>
    <row r="51" spans="10:90"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BC51" s="210"/>
      <c r="BD51" s="210"/>
      <c r="BE51" s="210"/>
      <c r="BF51" s="210"/>
      <c r="BG51" s="210"/>
      <c r="BH51" s="210"/>
      <c r="BI51" s="210"/>
      <c r="BJ51" s="210"/>
      <c r="BK51" s="210"/>
      <c r="BL51" s="210"/>
      <c r="BM51" s="210"/>
      <c r="BN51" s="210"/>
      <c r="BO51" s="210"/>
      <c r="BP51" s="210"/>
      <c r="BQ51" s="210"/>
      <c r="BR51" s="210"/>
      <c r="BS51" s="210"/>
      <c r="BT51" s="210"/>
      <c r="BU51" s="210"/>
      <c r="BV51" s="210"/>
      <c r="BW51" s="210"/>
      <c r="BX51" s="210"/>
      <c r="BY51" s="210"/>
      <c r="BZ51" s="210"/>
      <c r="CA51" s="210"/>
      <c r="CB51" s="210"/>
      <c r="CC51" s="210"/>
      <c r="CD51" s="210"/>
      <c r="CE51" s="210"/>
      <c r="CF51" s="210"/>
      <c r="CG51" s="210"/>
      <c r="CH51" s="210"/>
      <c r="CI51" s="210"/>
      <c r="CJ51" s="210"/>
      <c r="CK51" s="210"/>
      <c r="CL51" s="210"/>
    </row>
    <row r="52" spans="10:90"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BC52" s="210"/>
      <c r="BD52" s="210"/>
      <c r="BE52" s="210"/>
      <c r="BF52" s="210"/>
      <c r="BG52" s="210"/>
      <c r="BH52" s="210"/>
      <c r="BI52" s="210"/>
      <c r="BJ52" s="210"/>
      <c r="BK52" s="210"/>
      <c r="BL52" s="210"/>
      <c r="BM52" s="210"/>
      <c r="BN52" s="210"/>
      <c r="BO52" s="210"/>
      <c r="BP52" s="210"/>
      <c r="BQ52" s="210"/>
      <c r="BR52" s="210"/>
      <c r="BS52" s="210"/>
      <c r="BT52" s="210"/>
      <c r="BU52" s="210"/>
      <c r="BV52" s="210"/>
      <c r="BW52" s="210"/>
      <c r="BX52" s="210"/>
      <c r="BY52" s="210"/>
      <c r="BZ52" s="210"/>
      <c r="CA52" s="210"/>
      <c r="CB52" s="210"/>
      <c r="CC52" s="210"/>
      <c r="CD52" s="210"/>
      <c r="CE52" s="210"/>
      <c r="CF52" s="210"/>
      <c r="CG52" s="210"/>
      <c r="CH52" s="210"/>
      <c r="CI52" s="210"/>
      <c r="CJ52" s="210"/>
      <c r="CK52" s="210"/>
      <c r="CL52" s="210"/>
    </row>
    <row r="53" spans="10:90"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BC53" s="210"/>
      <c r="BD53" s="210"/>
      <c r="BE53" s="210"/>
      <c r="BF53" s="210"/>
      <c r="BG53" s="210"/>
      <c r="BH53" s="210"/>
      <c r="BI53" s="210"/>
      <c r="BJ53" s="210"/>
      <c r="BK53" s="210"/>
      <c r="BL53" s="210"/>
      <c r="BM53" s="210"/>
      <c r="BN53" s="210"/>
      <c r="BO53" s="210"/>
      <c r="BP53" s="210"/>
      <c r="BQ53" s="210"/>
      <c r="BR53" s="210"/>
      <c r="BS53" s="210"/>
      <c r="BT53" s="210"/>
      <c r="BU53" s="210"/>
      <c r="BV53" s="210"/>
      <c r="BW53" s="210"/>
      <c r="BX53" s="210"/>
      <c r="BY53" s="210"/>
      <c r="BZ53" s="210"/>
      <c r="CA53" s="210"/>
      <c r="CB53" s="210"/>
      <c r="CC53" s="210"/>
      <c r="CD53" s="210"/>
      <c r="CE53" s="210"/>
      <c r="CF53" s="210"/>
      <c r="CG53" s="210"/>
      <c r="CH53" s="210"/>
      <c r="CI53" s="210"/>
      <c r="CJ53" s="210"/>
      <c r="CK53" s="210"/>
      <c r="CL53" s="210"/>
    </row>
    <row r="54" spans="10:90"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BC54" s="210"/>
      <c r="BD54" s="210"/>
      <c r="BE54" s="210"/>
      <c r="BF54" s="210"/>
      <c r="BG54" s="210"/>
      <c r="BH54" s="210"/>
      <c r="BI54" s="210"/>
      <c r="BJ54" s="210"/>
      <c r="BK54" s="210"/>
      <c r="BL54" s="210"/>
      <c r="BM54" s="210"/>
      <c r="BN54" s="210"/>
      <c r="BO54" s="210"/>
      <c r="BP54" s="210"/>
      <c r="BQ54" s="210"/>
      <c r="BR54" s="210"/>
      <c r="BS54" s="210"/>
      <c r="BT54" s="210"/>
      <c r="BU54" s="210"/>
      <c r="BV54" s="210"/>
      <c r="BW54" s="210"/>
      <c r="BX54" s="210"/>
      <c r="BY54" s="210"/>
      <c r="BZ54" s="210"/>
      <c r="CA54" s="210"/>
      <c r="CB54" s="210"/>
      <c r="CC54" s="210"/>
      <c r="CD54" s="210"/>
      <c r="CE54" s="210"/>
      <c r="CF54" s="210"/>
      <c r="CG54" s="210"/>
      <c r="CH54" s="210"/>
      <c r="CI54" s="210"/>
      <c r="CJ54" s="210"/>
      <c r="CK54" s="210"/>
      <c r="CL54" s="210"/>
    </row>
    <row r="55" spans="10:90"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BC55" s="210"/>
      <c r="BD55" s="210"/>
      <c r="BE55" s="210"/>
      <c r="BF55" s="210"/>
      <c r="BG55" s="210"/>
      <c r="BH55" s="210"/>
      <c r="BI55" s="210"/>
      <c r="BJ55" s="210"/>
      <c r="BK55" s="210"/>
      <c r="BL55" s="210"/>
      <c r="BM55" s="210"/>
      <c r="BN55" s="210"/>
      <c r="BO55" s="210"/>
      <c r="BP55" s="210"/>
      <c r="BQ55" s="210"/>
      <c r="BR55" s="210"/>
      <c r="BS55" s="210"/>
      <c r="BT55" s="210"/>
      <c r="BU55" s="210"/>
      <c r="BV55" s="210"/>
      <c r="BW55" s="210"/>
      <c r="BX55" s="210"/>
      <c r="BY55" s="210"/>
      <c r="BZ55" s="210"/>
      <c r="CA55" s="210"/>
      <c r="CB55" s="210"/>
      <c r="CC55" s="210"/>
      <c r="CD55" s="210"/>
      <c r="CE55" s="210"/>
      <c r="CF55" s="210"/>
      <c r="CG55" s="210"/>
      <c r="CH55" s="210"/>
      <c r="CI55" s="210"/>
      <c r="CJ55" s="210"/>
      <c r="CK55" s="210"/>
      <c r="CL55" s="210"/>
    </row>
    <row r="56" spans="10:90"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0"/>
      <c r="BN56" s="210"/>
      <c r="BO56" s="210"/>
      <c r="BP56" s="210"/>
      <c r="BQ56" s="210"/>
      <c r="BR56" s="210"/>
      <c r="BS56" s="210"/>
      <c r="BT56" s="210"/>
      <c r="BU56" s="210"/>
      <c r="BV56" s="210"/>
      <c r="BW56" s="210"/>
      <c r="BX56" s="210"/>
      <c r="BY56" s="210"/>
      <c r="BZ56" s="210"/>
      <c r="CA56" s="210"/>
      <c r="CB56" s="210"/>
      <c r="CC56" s="210"/>
      <c r="CD56" s="210"/>
      <c r="CE56" s="210"/>
      <c r="CF56" s="210"/>
      <c r="CG56" s="210"/>
      <c r="CH56" s="210"/>
      <c r="CI56" s="210"/>
      <c r="CJ56" s="210"/>
      <c r="CK56" s="210"/>
      <c r="CL56" s="210"/>
    </row>
    <row r="57" spans="10:90"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BC57" s="210"/>
      <c r="BD57" s="210"/>
      <c r="BE57" s="210"/>
      <c r="BF57" s="210"/>
      <c r="BG57" s="210"/>
      <c r="BH57" s="210"/>
      <c r="BI57" s="210"/>
      <c r="BJ57" s="210"/>
      <c r="BK57" s="210"/>
      <c r="BL57" s="210"/>
      <c r="BM57" s="210"/>
      <c r="BN57" s="210"/>
      <c r="BO57" s="210"/>
      <c r="BP57" s="210"/>
      <c r="BQ57" s="210"/>
      <c r="BR57" s="210"/>
      <c r="BS57" s="210"/>
      <c r="BT57" s="210"/>
      <c r="BU57" s="210"/>
      <c r="BV57" s="210"/>
      <c r="BW57" s="210"/>
      <c r="BX57" s="210"/>
      <c r="BY57" s="210"/>
      <c r="BZ57" s="210"/>
      <c r="CA57" s="210"/>
      <c r="CB57" s="210"/>
      <c r="CC57" s="210"/>
      <c r="CD57" s="210"/>
      <c r="CE57" s="210"/>
      <c r="CF57" s="210"/>
      <c r="CG57" s="210"/>
      <c r="CH57" s="210"/>
      <c r="CI57" s="210"/>
      <c r="CJ57" s="210"/>
      <c r="CK57" s="210"/>
      <c r="CL57" s="210"/>
    </row>
    <row r="58" spans="10:90"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BC58" s="210"/>
      <c r="BD58" s="210"/>
      <c r="BE58" s="210"/>
      <c r="BF58" s="210"/>
      <c r="BG58" s="210"/>
      <c r="BH58" s="210"/>
      <c r="BI58" s="210"/>
      <c r="BJ58" s="210"/>
      <c r="BK58" s="210"/>
      <c r="BL58" s="210"/>
      <c r="BM58" s="210"/>
      <c r="BN58" s="210"/>
      <c r="BO58" s="210"/>
      <c r="BP58" s="210"/>
      <c r="BQ58" s="210"/>
      <c r="BR58" s="210"/>
      <c r="BS58" s="210"/>
      <c r="BT58" s="210"/>
      <c r="BU58" s="210"/>
      <c r="BV58" s="210"/>
      <c r="BW58" s="210"/>
      <c r="BX58" s="210"/>
      <c r="BY58" s="210"/>
      <c r="BZ58" s="210"/>
      <c r="CA58" s="210"/>
      <c r="CB58" s="210"/>
      <c r="CC58" s="210"/>
      <c r="CD58" s="210"/>
      <c r="CE58" s="210"/>
      <c r="CF58" s="210"/>
      <c r="CG58" s="210"/>
      <c r="CH58" s="210"/>
      <c r="CI58" s="210"/>
      <c r="CJ58" s="210"/>
      <c r="CK58" s="210"/>
      <c r="CL58" s="210"/>
    </row>
    <row r="59" spans="10:90"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0:90"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0:90"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0:90"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0:90"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0:90"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</sheetData>
  <sheetProtection algorithmName="SHA-512" hashValue="FLj0mHPAJOGMZKV0TZsRAh4V0nb0JuOOx2zpk8acJ+edBfJqtzJloVfNXI40ZdJwuBJES+VjgWXx6a7tgmWq7A==" saltValue="2JDmD7eAOY8hJKy6DOPGRw==" spinCount="100000" sheet="1" objects="1" scenarios="1"/>
  <pageMargins left="0.7" right="0.7" top="0.75" bottom="0.75" header="0.3" footer="0.3"/>
  <headerFooter>
    <oddFooter>&amp;C_x000D_&amp;1#&amp;"Verdana"&amp;7&amp;K000000 Confidential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987C6-D1BA-5D4C-B3AF-ED6CE33D46E3}">
  <sheetPr codeName="Sheet16"/>
  <dimension ref="B2:O56"/>
  <sheetViews>
    <sheetView workbookViewId="0">
      <selection activeCell="G20" sqref="G20"/>
    </sheetView>
  </sheetViews>
  <sheetFormatPr defaultColWidth="10.875" defaultRowHeight="15"/>
  <cols>
    <col min="1" max="1" width="10.875" style="1"/>
    <col min="2" max="2" width="26.125" style="1" customWidth="1"/>
    <col min="3" max="3" width="10" style="1" bestFit="1" customWidth="1"/>
    <col min="4" max="4" width="12.125" style="1" bestFit="1" customWidth="1"/>
    <col min="5" max="5" width="13" style="1" bestFit="1" customWidth="1"/>
    <col min="6" max="6" width="26.875" style="1" customWidth="1"/>
    <col min="7" max="7" width="24" style="1" bestFit="1" customWidth="1"/>
    <col min="8" max="8" width="6.125" style="1" customWidth="1"/>
    <col min="9" max="9" width="27" style="210" customWidth="1"/>
    <col min="10" max="10" width="8.625" style="210" bestFit="1" customWidth="1"/>
    <col min="11" max="11" width="18" style="210" customWidth="1"/>
    <col min="12" max="12" width="13.625" style="210" customWidth="1"/>
    <col min="13" max="13" width="15" style="210" customWidth="1"/>
    <col min="14" max="14" width="11.875" style="210" customWidth="1"/>
    <col min="15" max="15" width="14.625" style="210" customWidth="1"/>
    <col min="16" max="16384" width="10.875" style="1"/>
  </cols>
  <sheetData>
    <row r="2" spans="2:12" ht="27.95">
      <c r="B2" s="10" t="s">
        <v>472</v>
      </c>
    </row>
    <row r="3" spans="2:12">
      <c r="B3" s="1" t="s">
        <v>550</v>
      </c>
    </row>
    <row r="5" spans="2:12">
      <c r="B5" s="1" t="s">
        <v>605</v>
      </c>
      <c r="L5" s="409"/>
    </row>
    <row r="6" spans="2:12" ht="18">
      <c r="B6" s="97" t="s">
        <v>606</v>
      </c>
      <c r="C6" s="865" t="s">
        <v>607</v>
      </c>
      <c r="D6" s="865"/>
      <c r="E6" s="866"/>
      <c r="I6" s="404" t="s">
        <v>608</v>
      </c>
      <c r="K6" s="1" t="s">
        <v>609</v>
      </c>
    </row>
    <row r="7" spans="2:12">
      <c r="B7" s="100"/>
      <c r="C7" s="204" t="s">
        <v>297</v>
      </c>
      <c r="D7" s="204" t="s">
        <v>298</v>
      </c>
      <c r="E7" s="205" t="s">
        <v>299</v>
      </c>
      <c r="I7" s="405" t="s">
        <v>610</v>
      </c>
      <c r="K7" s="14" t="s">
        <v>66</v>
      </c>
    </row>
    <row r="8" spans="2:12">
      <c r="B8" s="98" t="s">
        <v>611</v>
      </c>
      <c r="C8" s="138">
        <v>0</v>
      </c>
      <c r="D8" s="138">
        <v>0.96</v>
      </c>
      <c r="E8" s="139">
        <v>0</v>
      </c>
      <c r="I8" s="405" t="s">
        <v>388</v>
      </c>
      <c r="K8" s="41" t="s">
        <v>612</v>
      </c>
    </row>
    <row r="9" spans="2:12">
      <c r="B9" s="98" t="s">
        <v>613</v>
      </c>
      <c r="C9" s="138">
        <v>0</v>
      </c>
      <c r="D9" s="138">
        <v>0.47599999999999998</v>
      </c>
      <c r="E9" s="139">
        <v>0</v>
      </c>
      <c r="I9" s="405" t="s">
        <v>614</v>
      </c>
      <c r="K9" s="41" t="s">
        <v>615</v>
      </c>
    </row>
    <row r="10" spans="2:12">
      <c r="B10" s="98" t="s">
        <v>616</v>
      </c>
      <c r="C10" s="138">
        <v>0</v>
      </c>
      <c r="D10" s="138">
        <v>0.63300000000000001</v>
      </c>
      <c r="E10" s="139">
        <v>0</v>
      </c>
      <c r="I10" s="405" t="s">
        <v>617</v>
      </c>
      <c r="K10" s="42" t="s">
        <v>618</v>
      </c>
    </row>
    <row r="11" spans="2:12">
      <c r="B11" s="98" t="s">
        <v>619</v>
      </c>
      <c r="C11" s="138">
        <v>0</v>
      </c>
      <c r="D11" s="138">
        <v>0.16</v>
      </c>
      <c r="E11" s="139">
        <v>0</v>
      </c>
      <c r="I11" s="405" t="s">
        <v>620</v>
      </c>
      <c r="K11" s="1"/>
    </row>
    <row r="12" spans="2:12">
      <c r="B12" s="98" t="s">
        <v>621</v>
      </c>
      <c r="C12" s="138">
        <v>0</v>
      </c>
      <c r="D12" s="138">
        <v>0.5</v>
      </c>
      <c r="E12" s="139">
        <v>0</v>
      </c>
      <c r="I12" s="405" t="s">
        <v>622</v>
      </c>
      <c r="K12" s="1"/>
    </row>
    <row r="13" spans="2:12">
      <c r="B13" s="98" t="s">
        <v>623</v>
      </c>
      <c r="C13" s="138">
        <v>0</v>
      </c>
      <c r="D13" s="138">
        <v>1</v>
      </c>
      <c r="E13" s="139">
        <v>0</v>
      </c>
      <c r="I13" s="405" t="s">
        <v>624</v>
      </c>
      <c r="K13" s="14" t="s">
        <v>81</v>
      </c>
    </row>
    <row r="14" spans="2:12">
      <c r="B14" s="98" t="s">
        <v>625</v>
      </c>
      <c r="C14" s="138">
        <v>0.21179999999999999</v>
      </c>
      <c r="D14" s="138">
        <v>1.2E-2</v>
      </c>
      <c r="E14" s="139">
        <v>0</v>
      </c>
      <c r="I14" s="405" t="s">
        <v>626</v>
      </c>
      <c r="K14" s="15" t="s">
        <v>481</v>
      </c>
    </row>
    <row r="15" spans="2:12">
      <c r="B15" s="98" t="s">
        <v>627</v>
      </c>
      <c r="C15" s="138">
        <v>0.2387</v>
      </c>
      <c r="D15" s="138">
        <v>3.3E-3</v>
      </c>
      <c r="E15" s="139">
        <v>0</v>
      </c>
      <c r="I15" s="405" t="s">
        <v>628</v>
      </c>
      <c r="K15" s="15" t="s">
        <v>482</v>
      </c>
    </row>
    <row r="16" spans="2:12">
      <c r="B16" s="98" t="s">
        <v>629</v>
      </c>
      <c r="C16" s="138">
        <v>0.29299999999999998</v>
      </c>
      <c r="D16" s="138">
        <v>5.0000000000000001E-3</v>
      </c>
      <c r="E16" s="139">
        <v>0</v>
      </c>
      <c r="I16" s="405" t="s">
        <v>630</v>
      </c>
      <c r="K16" s="15" t="s">
        <v>483</v>
      </c>
    </row>
    <row r="17" spans="2:11">
      <c r="B17" s="98" t="s">
        <v>631</v>
      </c>
      <c r="C17" s="138">
        <v>0.91</v>
      </c>
      <c r="D17" s="138">
        <v>1.2999999999999999E-2</v>
      </c>
      <c r="E17" s="139">
        <v>0</v>
      </c>
      <c r="I17" s="405" t="s">
        <v>632</v>
      </c>
      <c r="K17" s="15" t="s">
        <v>484</v>
      </c>
    </row>
    <row r="18" spans="2:11">
      <c r="B18" s="98" t="s">
        <v>633</v>
      </c>
      <c r="C18" s="138">
        <v>0.39900000000000002</v>
      </c>
      <c r="D18" s="138">
        <v>8.9999999999999993E-3</v>
      </c>
      <c r="E18" s="139">
        <v>0</v>
      </c>
      <c r="I18" s="405" t="s">
        <v>408</v>
      </c>
      <c r="K18" s="15" t="s">
        <v>80</v>
      </c>
    </row>
    <row r="19" spans="2:11">
      <c r="B19" s="98" t="s">
        <v>634</v>
      </c>
      <c r="C19" s="138">
        <v>0.65200000000000002</v>
      </c>
      <c r="D19" s="138">
        <v>1.2E-2</v>
      </c>
      <c r="E19" s="139">
        <v>0</v>
      </c>
      <c r="I19" s="405" t="s">
        <v>635</v>
      </c>
      <c r="K19" s="15" t="s">
        <v>541</v>
      </c>
    </row>
    <row r="20" spans="2:11">
      <c r="B20" s="98" t="s">
        <v>636</v>
      </c>
      <c r="C20" s="138">
        <v>0.25700000000000001</v>
      </c>
      <c r="D20" s="138">
        <v>6.0000000000000001E-3</v>
      </c>
      <c r="E20" s="139">
        <v>0</v>
      </c>
      <c r="I20" s="405" t="s">
        <v>637</v>
      </c>
      <c r="K20" s="15" t="s">
        <v>486</v>
      </c>
    </row>
    <row r="21" spans="2:11">
      <c r="B21" s="98" t="s">
        <v>638</v>
      </c>
      <c r="C21" s="138">
        <v>0.24660000000000001</v>
      </c>
      <c r="D21" s="138">
        <v>3.8E-3</v>
      </c>
      <c r="E21" s="139">
        <v>0</v>
      </c>
      <c r="I21" s="405" t="s">
        <v>639</v>
      </c>
      <c r="K21" s="15" t="s">
        <v>487</v>
      </c>
    </row>
    <row r="22" spans="2:11">
      <c r="B22" s="98" t="s">
        <v>640</v>
      </c>
      <c r="C22" s="138">
        <v>0.1653</v>
      </c>
      <c r="D22" s="138">
        <v>3.5000000000000001E-3</v>
      </c>
      <c r="E22" s="139">
        <v>0</v>
      </c>
      <c r="I22" s="405" t="s">
        <v>641</v>
      </c>
      <c r="K22" s="15" t="s">
        <v>488</v>
      </c>
    </row>
    <row r="23" spans="2:11">
      <c r="B23" s="98" t="s">
        <v>642</v>
      </c>
      <c r="C23" s="138">
        <v>0.25559999999999999</v>
      </c>
      <c r="D23" s="138">
        <v>1.4E-3</v>
      </c>
      <c r="E23" s="139">
        <v>0</v>
      </c>
      <c r="I23" s="405" t="s">
        <v>643</v>
      </c>
      <c r="K23" s="15" t="s">
        <v>542</v>
      </c>
    </row>
    <row r="24" spans="2:11">
      <c r="B24" s="98" t="s">
        <v>644</v>
      </c>
      <c r="C24" s="138">
        <v>0.1678</v>
      </c>
      <c r="D24" s="138">
        <v>1.4E-3</v>
      </c>
      <c r="E24" s="139">
        <v>0</v>
      </c>
      <c r="I24" s="405" t="s">
        <v>645</v>
      </c>
      <c r="K24" s="15" t="s">
        <v>543</v>
      </c>
    </row>
    <row r="25" spans="2:11">
      <c r="B25" s="98" t="s">
        <v>646</v>
      </c>
      <c r="C25" s="138">
        <v>0</v>
      </c>
      <c r="D25" s="138">
        <v>0.06</v>
      </c>
      <c r="E25" s="139">
        <v>0</v>
      </c>
      <c r="I25" s="405" t="s">
        <v>647</v>
      </c>
      <c r="K25" s="15" t="s">
        <v>491</v>
      </c>
    </row>
    <row r="26" spans="2:11">
      <c r="B26" s="98" t="s">
        <v>648</v>
      </c>
      <c r="C26" s="138">
        <v>0.76400000000000001</v>
      </c>
      <c r="D26" s="138">
        <v>0</v>
      </c>
      <c r="E26" s="139">
        <v>0</v>
      </c>
      <c r="I26" s="405" t="s">
        <v>649</v>
      </c>
      <c r="K26" s="16" t="s">
        <v>650</v>
      </c>
    </row>
    <row r="27" spans="2:11">
      <c r="B27" s="98" t="s">
        <v>651</v>
      </c>
      <c r="C27" s="138">
        <v>0.90920000000000001</v>
      </c>
      <c r="D27" s="138">
        <v>0</v>
      </c>
      <c r="E27" s="139">
        <v>0</v>
      </c>
      <c r="I27" s="405" t="s">
        <v>652</v>
      </c>
      <c r="K27" s="1"/>
    </row>
    <row r="28" spans="2:11">
      <c r="B28" s="98" t="s">
        <v>653</v>
      </c>
      <c r="C28" s="138">
        <v>0.98599999999999999</v>
      </c>
      <c r="D28" s="138">
        <v>0</v>
      </c>
      <c r="E28" s="139">
        <v>0</v>
      </c>
      <c r="I28" s="405" t="s">
        <v>654</v>
      </c>
      <c r="K28" s="1"/>
    </row>
    <row r="29" spans="2:11">
      <c r="B29" s="98" t="s">
        <v>655</v>
      </c>
      <c r="C29" s="138">
        <v>0.98129999999999995</v>
      </c>
      <c r="D29" s="138">
        <v>0</v>
      </c>
      <c r="E29" s="139">
        <v>0</v>
      </c>
      <c r="I29" s="405" t="s">
        <v>656</v>
      </c>
      <c r="K29" s="14" t="s">
        <v>99</v>
      </c>
    </row>
    <row r="30" spans="2:11">
      <c r="B30" s="98" t="s">
        <v>657</v>
      </c>
      <c r="C30" s="138">
        <v>0.9</v>
      </c>
      <c r="D30" s="138">
        <v>0</v>
      </c>
      <c r="E30" s="139">
        <v>0</v>
      </c>
      <c r="I30" s="405" t="s">
        <v>658</v>
      </c>
      <c r="K30" s="42" t="s">
        <v>101</v>
      </c>
    </row>
    <row r="31" spans="2:11">
      <c r="B31" s="98" t="s">
        <v>659</v>
      </c>
      <c r="C31" s="138">
        <v>0.57699999999999996</v>
      </c>
      <c r="D31" s="138">
        <v>0</v>
      </c>
      <c r="E31" s="139">
        <v>0</v>
      </c>
      <c r="I31" s="405" t="s">
        <v>660</v>
      </c>
    </row>
    <row r="32" spans="2:11">
      <c r="B32" s="98" t="s">
        <v>661</v>
      </c>
      <c r="C32" s="138">
        <v>3.3000000000000002E-2</v>
      </c>
      <c r="D32" s="138">
        <v>0</v>
      </c>
      <c r="E32" s="139">
        <v>0</v>
      </c>
      <c r="I32" s="405" t="s">
        <v>662</v>
      </c>
    </row>
    <row r="33" spans="2:9">
      <c r="B33" s="98" t="s">
        <v>663</v>
      </c>
      <c r="C33" s="138">
        <v>0</v>
      </c>
      <c r="D33" s="138">
        <v>6.5000000000000002E-2</v>
      </c>
      <c r="E33" s="139">
        <v>0</v>
      </c>
      <c r="I33" s="405" t="s">
        <v>664</v>
      </c>
    </row>
    <row r="34" spans="2:9">
      <c r="B34" s="98" t="s">
        <v>665</v>
      </c>
      <c r="C34" s="138">
        <v>0</v>
      </c>
      <c r="D34" s="138">
        <v>1</v>
      </c>
      <c r="E34" s="139">
        <v>0</v>
      </c>
      <c r="I34" s="405" t="s">
        <v>666</v>
      </c>
    </row>
    <row r="35" spans="2:9">
      <c r="B35" s="98" t="s">
        <v>667</v>
      </c>
      <c r="C35" s="138">
        <v>0</v>
      </c>
      <c r="D35" s="138">
        <v>0</v>
      </c>
      <c r="E35" s="139">
        <v>0.13</v>
      </c>
      <c r="I35" s="406" t="s">
        <v>668</v>
      </c>
    </row>
    <row r="36" spans="2:9">
      <c r="B36" s="98" t="s">
        <v>669</v>
      </c>
      <c r="C36" s="138">
        <v>0</v>
      </c>
      <c r="D36" s="138">
        <v>0</v>
      </c>
      <c r="E36" s="139">
        <v>0.03</v>
      </c>
    </row>
    <row r="37" spans="2:9">
      <c r="B37" s="98" t="s">
        <v>670</v>
      </c>
      <c r="C37" s="138">
        <v>0</v>
      </c>
      <c r="D37" s="138">
        <v>0</v>
      </c>
      <c r="E37" s="139">
        <v>0.08</v>
      </c>
    </row>
    <row r="38" spans="2:9">
      <c r="B38" s="98" t="s">
        <v>671</v>
      </c>
      <c r="C38" s="138">
        <v>0</v>
      </c>
      <c r="D38" s="138">
        <v>0</v>
      </c>
      <c r="E38" s="139">
        <v>0.1</v>
      </c>
    </row>
    <row r="39" spans="2:9">
      <c r="B39" s="99" t="s">
        <v>672</v>
      </c>
      <c r="C39" s="140">
        <v>0</v>
      </c>
      <c r="D39" s="140">
        <v>0</v>
      </c>
      <c r="E39" s="141">
        <v>0.13</v>
      </c>
    </row>
    <row r="42" spans="2:9" ht="15.95" thickBot="1"/>
    <row r="43" spans="2:9" ht="15.95">
      <c r="B43" s="867" t="s">
        <v>673</v>
      </c>
      <c r="C43" s="867"/>
      <c r="D43" s="867"/>
      <c r="E43" s="867"/>
      <c r="F43" s="868"/>
    </row>
    <row r="44" spans="2:9" ht="17.100000000000001" thickBot="1">
      <c r="B44" s="432" t="s">
        <v>674</v>
      </c>
      <c r="C44" s="433" t="s">
        <v>675</v>
      </c>
      <c r="D44" s="434" t="s">
        <v>307</v>
      </c>
      <c r="E44" s="434" t="s">
        <v>308</v>
      </c>
      <c r="F44" s="435" t="s">
        <v>676</v>
      </c>
    </row>
    <row r="45" spans="2:9">
      <c r="B45" s="436" t="s">
        <v>677</v>
      </c>
      <c r="C45" s="437">
        <v>7.1</v>
      </c>
      <c r="D45" s="438">
        <v>0.2</v>
      </c>
      <c r="E45" s="438">
        <v>40.200000000000003</v>
      </c>
      <c r="F45" s="439">
        <v>39.479999999999997</v>
      </c>
    </row>
    <row r="46" spans="2:9">
      <c r="B46" s="440" t="s">
        <v>411</v>
      </c>
      <c r="C46" s="441">
        <v>0.4</v>
      </c>
      <c r="D46" s="442">
        <v>80.5</v>
      </c>
      <c r="E46" s="442">
        <v>11.3</v>
      </c>
      <c r="F46" s="443">
        <v>6.7</v>
      </c>
    </row>
    <row r="47" spans="2:9">
      <c r="B47" s="440" t="s">
        <v>678</v>
      </c>
      <c r="C47" s="441">
        <v>0</v>
      </c>
      <c r="D47" s="442">
        <v>9.6</v>
      </c>
      <c r="E47" s="442">
        <v>2.7</v>
      </c>
      <c r="F47" s="443">
        <v>78.08</v>
      </c>
    </row>
    <row r="48" spans="2:9">
      <c r="B48" s="440" t="s">
        <v>679</v>
      </c>
      <c r="C48" s="441">
        <v>0</v>
      </c>
      <c r="D48" s="442">
        <v>19.899999999999999</v>
      </c>
      <c r="E48" s="442">
        <v>37.6</v>
      </c>
      <c r="F48" s="443">
        <v>15.72</v>
      </c>
    </row>
    <row r="49" spans="2:6">
      <c r="B49" s="440" t="s">
        <v>680</v>
      </c>
      <c r="C49" s="441">
        <v>0</v>
      </c>
      <c r="D49" s="442">
        <v>3.9</v>
      </c>
      <c r="E49" s="442">
        <v>1.3</v>
      </c>
      <c r="F49" s="443">
        <v>69.03</v>
      </c>
    </row>
    <row r="50" spans="2:6">
      <c r="B50" s="440" t="s">
        <v>681</v>
      </c>
      <c r="C50" s="441">
        <v>0</v>
      </c>
      <c r="D50" s="442">
        <v>6.4</v>
      </c>
      <c r="E50" s="442">
        <v>2.1</v>
      </c>
      <c r="F50" s="443">
        <v>91.49</v>
      </c>
    </row>
    <row r="51" spans="2:6">
      <c r="B51" s="440" t="s">
        <v>682</v>
      </c>
      <c r="C51" s="441">
        <v>0</v>
      </c>
      <c r="D51" s="442">
        <v>0.6</v>
      </c>
      <c r="E51" s="442">
        <v>0</v>
      </c>
      <c r="F51" s="443">
        <v>99.24</v>
      </c>
    </row>
    <row r="52" spans="2:6">
      <c r="B52" s="440" t="s">
        <v>683</v>
      </c>
      <c r="C52" s="441">
        <v>0</v>
      </c>
      <c r="D52" s="442">
        <v>46.4</v>
      </c>
      <c r="E52" s="442">
        <v>4</v>
      </c>
      <c r="F52" s="443">
        <v>49.28</v>
      </c>
    </row>
    <row r="53" spans="2:6">
      <c r="B53" s="440" t="s">
        <v>684</v>
      </c>
      <c r="C53" s="441">
        <v>1.6</v>
      </c>
      <c r="D53" s="442">
        <v>22</v>
      </c>
      <c r="E53" s="442">
        <v>15.7</v>
      </c>
      <c r="F53" s="443">
        <v>0.41</v>
      </c>
    </row>
    <row r="54" spans="2:6">
      <c r="B54" s="440" t="s">
        <v>685</v>
      </c>
      <c r="C54" s="441">
        <v>0</v>
      </c>
      <c r="D54" s="442">
        <v>100</v>
      </c>
      <c r="E54" s="442">
        <v>0</v>
      </c>
      <c r="F54" s="443">
        <v>0</v>
      </c>
    </row>
    <row r="55" spans="2:6">
      <c r="B55" s="440" t="s">
        <v>391</v>
      </c>
      <c r="C55" s="441">
        <v>0</v>
      </c>
      <c r="D55" s="442">
        <v>86.7</v>
      </c>
      <c r="E55" s="442">
        <v>0.4</v>
      </c>
      <c r="F55" s="443">
        <v>11.55</v>
      </c>
    </row>
    <row r="56" spans="2:6">
      <c r="B56" s="440" t="s">
        <v>686</v>
      </c>
      <c r="C56" s="441">
        <v>0</v>
      </c>
      <c r="D56" s="442">
        <v>86.7</v>
      </c>
      <c r="E56" s="442">
        <v>0.4</v>
      </c>
      <c r="F56" s="443">
        <v>11.55</v>
      </c>
    </row>
  </sheetData>
  <sheetProtection algorithmName="SHA-512" hashValue="Hqz6iZXh4jtgmfeKjHlxCAcM9gO7RFLCPHp+rnjFTY4YZhiGVv720BL0kimGwIJPcygfZ4dszDzN0EoYLwtXYg==" saltValue="Lth39gs3ma068Zd1m2Nk5g==" spinCount="100000" sheet="1" objects="1" scenarios="1"/>
  <mergeCells count="2">
    <mergeCell ref="C6:E6"/>
    <mergeCell ref="B43:F43"/>
  </mergeCells>
  <phoneticPr fontId="32" type="noConversion"/>
  <conditionalFormatting sqref="C8:E39">
    <cfRule type="containsBlanks" dxfId="10" priority="3">
      <formula>LEN(TRIM(C8))=0</formula>
    </cfRule>
  </conditionalFormatting>
  <conditionalFormatting sqref="I7:J37 E44:F56 I52:J57">
    <cfRule type="cellIs" dxfId="9" priority="2" operator="equal">
      <formula>0</formula>
    </cfRule>
  </conditionalFormatting>
  <dataValidations count="1">
    <dataValidation type="decimal" allowBlank="1" showInputMessage="1" showErrorMessage="1" errorTitle="Ugyldig verdi" error="Verdien må være mellom 0 og 100%." sqref="C8:E39" xr:uid="{00000000-0002-0000-0400-000000000000}">
      <formula1>0</formula1>
      <formula2>1</formula2>
    </dataValidation>
  </dataValidations>
  <pageMargins left="0.7" right="0.7" top="0.75" bottom="0.75" header="0.3" footer="0.3"/>
  <headerFooter>
    <oddFooter>&amp;C_x000D_&amp;1#&amp;"Verdana"&amp;7&amp;K000000 Confidential</oddFooter>
  </headerFooter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1F110-A25D-7948-9450-026B8862359D}">
  <sheetPr codeName="Sheet2">
    <tabColor theme="4"/>
  </sheetPr>
  <dimension ref="B1:L53"/>
  <sheetViews>
    <sheetView tabSelected="1" zoomScaleNormal="100" workbookViewId="0">
      <selection activeCell="B7" sqref="B7"/>
    </sheetView>
  </sheetViews>
  <sheetFormatPr defaultColWidth="10.875" defaultRowHeight="14.1"/>
  <cols>
    <col min="1" max="1" width="8.5" style="8" customWidth="1"/>
    <col min="2" max="2" width="21" style="8" customWidth="1"/>
    <col min="3" max="3" width="19.875" style="8" customWidth="1"/>
    <col min="4" max="7" width="15.5" style="8" customWidth="1"/>
    <col min="8" max="8" width="15.875" style="8" customWidth="1"/>
    <col min="9" max="9" width="13.875" style="8" customWidth="1"/>
    <col min="10" max="16384" width="10.875" style="8"/>
  </cols>
  <sheetData>
    <row r="1" spans="2:12" ht="36" customHeight="1"/>
    <row r="2" spans="2:12" ht="27.95">
      <c r="B2" s="10" t="s">
        <v>11</v>
      </c>
    </row>
    <row r="3" spans="2:12" ht="6.95" customHeight="1">
      <c r="B3" s="700" t="s">
        <v>12</v>
      </c>
      <c r="C3" s="700"/>
      <c r="D3" s="700"/>
      <c r="E3" s="700"/>
      <c r="F3" s="700"/>
      <c r="G3" s="700"/>
      <c r="H3" s="700"/>
      <c r="I3" s="700"/>
      <c r="J3" s="700"/>
      <c r="K3" s="700"/>
      <c r="L3" s="700"/>
    </row>
    <row r="4" spans="2:12">
      <c r="B4" s="11" t="s">
        <v>13</v>
      </c>
    </row>
    <row r="5" spans="2:12">
      <c r="B5" s="11" t="s">
        <v>14</v>
      </c>
    </row>
    <row r="6" spans="2:12">
      <c r="B6" s="11" t="s">
        <v>15</v>
      </c>
    </row>
    <row r="7" spans="2:12">
      <c r="B7" s="11" t="s">
        <v>16</v>
      </c>
    </row>
    <row r="8" spans="2:12">
      <c r="B8" s="11"/>
    </row>
    <row r="10" spans="2:12" ht="23.1">
      <c r="B10" s="12" t="s">
        <v>17</v>
      </c>
      <c r="C10" s="9"/>
      <c r="D10" s="9"/>
      <c r="E10" s="9"/>
      <c r="F10" s="9"/>
      <c r="G10" s="9"/>
      <c r="H10" s="9"/>
      <c r="I10" s="9"/>
      <c r="J10" s="9"/>
    </row>
    <row r="11" spans="2:12" ht="8.1" customHeight="1">
      <c r="C11" s="9"/>
      <c r="D11" s="9"/>
      <c r="E11" s="9"/>
      <c r="F11" s="9"/>
      <c r="G11" s="9"/>
      <c r="H11" s="9"/>
      <c r="I11" s="9"/>
      <c r="J11" s="9"/>
    </row>
    <row r="12" spans="2:12" ht="15" customHeight="1">
      <c r="B12" s="8" t="s">
        <v>18</v>
      </c>
      <c r="C12" s="9"/>
      <c r="D12" s="9"/>
      <c r="E12" s="9"/>
      <c r="F12" s="9"/>
      <c r="G12" s="9"/>
      <c r="H12" s="9"/>
      <c r="I12" s="9"/>
      <c r="J12" s="9"/>
    </row>
    <row r="13" spans="2:12" ht="15" customHeight="1">
      <c r="B13" s="8" t="s">
        <v>19</v>
      </c>
    </row>
    <row r="14" spans="2:12" ht="15" customHeight="1">
      <c r="B14" s="13" t="s">
        <v>20</v>
      </c>
      <c r="C14" s="8" t="s">
        <v>21</v>
      </c>
    </row>
    <row r="15" spans="2:12" ht="15" customHeight="1">
      <c r="B15" s="13" t="s">
        <v>22</v>
      </c>
      <c r="C15" s="8" t="s">
        <v>23</v>
      </c>
    </row>
    <row r="16" spans="2:12" ht="15" customHeight="1">
      <c r="B16" s="13" t="s">
        <v>24</v>
      </c>
      <c r="C16" s="8" t="s">
        <v>25</v>
      </c>
    </row>
    <row r="17" spans="2:11" ht="15" customHeight="1">
      <c r="B17" s="13" t="s">
        <v>26</v>
      </c>
      <c r="C17" s="8" t="s">
        <v>27</v>
      </c>
    </row>
    <row r="18" spans="2:11">
      <c r="B18" s="13" t="s">
        <v>28</v>
      </c>
      <c r="C18" s="8" t="s">
        <v>29</v>
      </c>
    </row>
    <row r="19" spans="2:11">
      <c r="B19" s="13" t="s">
        <v>30</v>
      </c>
      <c r="C19" s="8" t="s">
        <v>31</v>
      </c>
    </row>
    <row r="21" spans="2:11" ht="15" customHeight="1">
      <c r="B21" s="8" t="s">
        <v>32</v>
      </c>
    </row>
    <row r="22" spans="2:11">
      <c r="B22" s="8" t="s">
        <v>33</v>
      </c>
    </row>
    <row r="23" spans="2:11" ht="17.100000000000001">
      <c r="K23" s="9"/>
    </row>
    <row r="24" spans="2:11" ht="24" customHeight="1">
      <c r="B24" s="12" t="s">
        <v>34</v>
      </c>
      <c r="K24" s="9"/>
    </row>
    <row r="25" spans="2:11" ht="17.100000000000001">
      <c r="K25" s="9"/>
    </row>
    <row r="26" spans="2:11">
      <c r="B26" s="13" t="s">
        <v>35</v>
      </c>
      <c r="C26" s="11" t="s">
        <v>36</v>
      </c>
    </row>
    <row r="27" spans="2:11">
      <c r="B27" s="13" t="s">
        <v>37</v>
      </c>
      <c r="C27" s="11" t="s">
        <v>38</v>
      </c>
    </row>
    <row r="28" spans="2:11">
      <c r="B28" s="13" t="s">
        <v>39</v>
      </c>
      <c r="C28" s="8" t="s">
        <v>40</v>
      </c>
    </row>
    <row r="29" spans="2:11">
      <c r="B29" s="13" t="s">
        <v>41</v>
      </c>
      <c r="C29" s="11" t="s">
        <v>42</v>
      </c>
    </row>
    <row r="30" spans="2:11">
      <c r="B30" s="13" t="s">
        <v>43</v>
      </c>
      <c r="C30" s="11" t="s">
        <v>44</v>
      </c>
    </row>
    <row r="31" spans="2:11">
      <c r="B31" s="13" t="s">
        <v>45</v>
      </c>
      <c r="C31" s="11" t="s">
        <v>46</v>
      </c>
      <c r="D31" s="144"/>
    </row>
    <row r="32" spans="2:11" ht="15.95" customHeight="1">
      <c r="B32" s="13"/>
    </row>
    <row r="33" spans="2:12" ht="15.95" customHeight="1"/>
    <row r="34" spans="2:12" ht="15.95" customHeight="1">
      <c r="L34" s="9"/>
    </row>
    <row r="35" spans="2:12" ht="23.1">
      <c r="B35" s="12" t="s">
        <v>47</v>
      </c>
    </row>
    <row r="36" spans="2:12" ht="15">
      <c r="B36" s="13" t="s">
        <v>20</v>
      </c>
      <c r="C36" s="8" t="s">
        <v>48</v>
      </c>
      <c r="I36" s="1"/>
      <c r="J36" s="1"/>
      <c r="K36" s="1"/>
    </row>
    <row r="37" spans="2:12" ht="15">
      <c r="B37" s="13" t="s">
        <v>22</v>
      </c>
      <c r="C37" s="8" t="s">
        <v>49</v>
      </c>
      <c r="I37" s="1"/>
      <c r="J37" s="1"/>
      <c r="K37" s="1"/>
    </row>
    <row r="38" spans="2:12" ht="15">
      <c r="B38" s="13" t="s">
        <v>24</v>
      </c>
      <c r="C38" s="8" t="s">
        <v>50</v>
      </c>
      <c r="I38" s="1"/>
      <c r="J38" s="1"/>
      <c r="K38" s="1"/>
    </row>
    <row r="39" spans="2:12" ht="15">
      <c r="B39" s="13" t="s">
        <v>26</v>
      </c>
      <c r="C39" s="8" t="s">
        <v>51</v>
      </c>
      <c r="I39" s="1"/>
      <c r="J39" s="1"/>
      <c r="K39" s="1"/>
    </row>
    <row r="40" spans="2:12" ht="15">
      <c r="B40" s="13" t="s">
        <v>28</v>
      </c>
      <c r="C40" s="8" t="s">
        <v>52</v>
      </c>
      <c r="I40" s="1"/>
      <c r="J40" s="1"/>
      <c r="K40" s="1"/>
    </row>
    <row r="41" spans="2:12" ht="15" customHeight="1">
      <c r="I41" s="1"/>
      <c r="J41" s="1"/>
      <c r="K41" s="1"/>
    </row>
    <row r="42" spans="2:12" ht="15">
      <c r="I42" s="1"/>
      <c r="J42" s="1"/>
      <c r="K42" s="1"/>
    </row>
    <row r="43" spans="2:12" ht="15">
      <c r="I43" s="1"/>
      <c r="J43" s="1"/>
      <c r="K43" s="1"/>
    </row>
    <row r="44" spans="2:12" ht="15">
      <c r="I44" s="1"/>
      <c r="J44" s="1"/>
      <c r="K44" s="1"/>
    </row>
    <row r="45" spans="2:12" ht="15">
      <c r="I45" s="1"/>
      <c r="J45" s="1"/>
      <c r="K45" s="1"/>
    </row>
    <row r="46" spans="2:12" ht="15">
      <c r="I46" s="1"/>
      <c r="J46" s="1"/>
      <c r="K46" s="1"/>
    </row>
    <row r="47" spans="2:12" ht="15">
      <c r="I47" s="1"/>
      <c r="J47" s="1"/>
      <c r="K47" s="1"/>
    </row>
    <row r="48" spans="2:12" ht="15">
      <c r="I48" s="1"/>
      <c r="J48" s="1"/>
      <c r="K48" s="1"/>
    </row>
    <row r="49" spans="9:11" ht="15">
      <c r="I49" s="1"/>
      <c r="J49" s="1"/>
      <c r="K49" s="1"/>
    </row>
    <row r="50" spans="9:11" ht="15">
      <c r="I50" s="1"/>
      <c r="J50" s="1"/>
      <c r="K50" s="1"/>
    </row>
    <row r="51" spans="9:11" ht="15">
      <c r="I51" s="1"/>
      <c r="J51" s="1"/>
      <c r="K51" s="1"/>
    </row>
    <row r="52" spans="9:11" ht="15">
      <c r="I52" s="1"/>
      <c r="J52" s="1"/>
      <c r="K52" s="1"/>
    </row>
    <row r="53" spans="9:11" ht="15">
      <c r="I53" s="1"/>
      <c r="J53" s="1"/>
      <c r="K53" s="1"/>
    </row>
  </sheetData>
  <mergeCells count="1">
    <mergeCell ref="B3:L3"/>
  </mergeCells>
  <pageMargins left="0.7" right="0.7" top="0.75" bottom="0.75" header="0.3" footer="0.3"/>
  <headerFooter>
    <oddFooter>&amp;C_x000D_&amp;1#&amp;"Verdana"&amp;7&amp;K000000 Confidential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5" tint="0.39997558519241921"/>
  </sheetPr>
  <dimension ref="A2:AD116"/>
  <sheetViews>
    <sheetView zoomScaleNormal="100" workbookViewId="0">
      <selection activeCell="D50" sqref="D50"/>
    </sheetView>
  </sheetViews>
  <sheetFormatPr defaultColWidth="8.875" defaultRowHeight="14.1"/>
  <cols>
    <col min="1" max="1" width="4.875" style="8" customWidth="1"/>
    <col min="2" max="2" width="7.125" style="8" customWidth="1"/>
    <col min="3" max="3" width="23.125" style="8" customWidth="1"/>
    <col min="4" max="4" width="16.5" style="8" customWidth="1"/>
    <col min="5" max="5" width="17.125" style="8" bestFit="1" customWidth="1"/>
    <col min="6" max="6" width="15" style="8" bestFit="1" customWidth="1"/>
    <col min="7" max="7" width="18.375" style="8" customWidth="1"/>
    <col min="8" max="8" width="13.375" style="8" customWidth="1"/>
    <col min="9" max="9" width="15.5" style="8" customWidth="1"/>
    <col min="10" max="10" width="29" style="8" customWidth="1"/>
    <col min="11" max="12" width="12.125" style="8" customWidth="1"/>
    <col min="13" max="13" width="14.375" style="8" customWidth="1"/>
    <col min="14" max="14" width="20.625" style="8" customWidth="1"/>
    <col min="15" max="15" width="12.5" style="8" customWidth="1"/>
    <col min="16" max="19" width="14.375" style="8" customWidth="1"/>
    <col min="20" max="22" width="8.875" style="8"/>
    <col min="23" max="23" width="11.875" style="8" customWidth="1"/>
    <col min="24" max="16384" width="8.875" style="8"/>
  </cols>
  <sheetData>
    <row r="2" spans="1:30" ht="60.95" customHeight="1">
      <c r="A2" s="269"/>
      <c r="C2" s="103" t="s">
        <v>53</v>
      </c>
      <c r="D2" s="227"/>
      <c r="E2" s="227"/>
      <c r="F2" s="227"/>
      <c r="G2" s="227"/>
      <c r="K2" s="227"/>
      <c r="L2" s="103" t="s">
        <v>54</v>
      </c>
      <c r="M2" s="227"/>
      <c r="AC2" s="270"/>
      <c r="AD2" s="270"/>
    </row>
    <row r="3" spans="1:30" ht="18">
      <c r="C3" s="20" t="s">
        <v>55</v>
      </c>
      <c r="H3" s="202"/>
      <c r="I3" s="20" t="s">
        <v>56</v>
      </c>
      <c r="J3" s="270"/>
      <c r="L3" s="8" t="s">
        <v>57</v>
      </c>
    </row>
    <row r="4" spans="1:30" ht="18">
      <c r="C4" s="20" t="s">
        <v>58</v>
      </c>
      <c r="H4" s="203"/>
      <c r="I4" s="20" t="s">
        <v>59</v>
      </c>
      <c r="J4" s="270"/>
    </row>
    <row r="5" spans="1:30" ht="18">
      <c r="C5" s="20" t="s">
        <v>60</v>
      </c>
      <c r="I5" s="20"/>
      <c r="J5" s="270"/>
    </row>
    <row r="7" spans="1:30" ht="15" customHeight="1"/>
    <row r="9" spans="1:30" ht="29.1" customHeight="1">
      <c r="C9" s="60" t="s">
        <v>61</v>
      </c>
      <c r="D9" s="263"/>
      <c r="E9" s="55"/>
      <c r="F9" s="160"/>
      <c r="G9" s="160"/>
      <c r="H9" s="160"/>
      <c r="I9" s="160"/>
      <c r="J9" s="161"/>
    </row>
    <row r="10" spans="1:30">
      <c r="C10" s="201" t="s">
        <v>62</v>
      </c>
      <c r="D10" s="397"/>
      <c r="I10" s="11"/>
      <c r="J10" s="59"/>
    </row>
    <row r="11" spans="1:30">
      <c r="C11" s="375" t="s">
        <v>63</v>
      </c>
      <c r="D11" s="377" t="s">
        <v>64</v>
      </c>
      <c r="I11" s="11"/>
      <c r="J11" s="59"/>
    </row>
    <row r="12" spans="1:30" ht="15">
      <c r="C12" s="265" t="s">
        <v>65</v>
      </c>
      <c r="D12" s="378" t="s">
        <v>66</v>
      </c>
      <c r="E12" s="1"/>
      <c r="I12" s="11"/>
      <c r="J12" s="59"/>
    </row>
    <row r="13" spans="1:30" ht="15">
      <c r="C13" s="265" t="s">
        <v>67</v>
      </c>
      <c r="D13" s="379" t="s">
        <v>64</v>
      </c>
      <c r="E13" s="1"/>
      <c r="I13" s="11"/>
      <c r="J13" s="59"/>
    </row>
    <row r="14" spans="1:30" ht="15">
      <c r="C14" s="265" t="s">
        <v>68</v>
      </c>
      <c r="D14" s="378" t="s">
        <v>64</v>
      </c>
      <c r="E14" s="1"/>
      <c r="I14" s="11"/>
      <c r="J14" s="59"/>
    </row>
    <row r="15" spans="1:30" ht="15">
      <c r="C15" s="265" t="s">
        <v>69</v>
      </c>
      <c r="D15" s="378" t="s">
        <v>64</v>
      </c>
      <c r="E15" s="1"/>
      <c r="I15" s="11"/>
      <c r="J15" s="59"/>
    </row>
    <row r="16" spans="1:30" ht="15">
      <c r="C16" s="265" t="s">
        <v>70</v>
      </c>
      <c r="D16" s="588">
        <v>2025</v>
      </c>
      <c r="E16" s="1"/>
      <c r="I16" s="11"/>
      <c r="J16" s="59"/>
    </row>
    <row r="17" spans="3:12" ht="15">
      <c r="C17" s="376" t="s">
        <v>71</v>
      </c>
      <c r="D17" s="586">
        <v>50</v>
      </c>
      <c r="E17" s="1"/>
      <c r="J17" s="59"/>
    </row>
    <row r="18" spans="3:12" ht="15">
      <c r="C18" s="67"/>
      <c r="D18" s="1"/>
      <c r="E18" s="1"/>
      <c r="F18" s="1"/>
      <c r="G18" s="1"/>
      <c r="H18" s="1"/>
      <c r="I18" s="11"/>
      <c r="J18" s="59"/>
    </row>
    <row r="19" spans="3:12" ht="15">
      <c r="C19" s="67"/>
      <c r="D19" s="1"/>
      <c r="E19" s="1"/>
      <c r="F19" s="17"/>
      <c r="I19" s="11"/>
      <c r="J19" s="59"/>
    </row>
    <row r="20" spans="3:12" ht="23.1">
      <c r="C20" s="264" t="s">
        <v>72</v>
      </c>
      <c r="G20" s="1"/>
      <c r="H20" s="1"/>
      <c r="I20" s="11"/>
      <c r="J20" s="59"/>
    </row>
    <row r="21" spans="3:12" ht="15">
      <c r="C21" s="201" t="s">
        <v>73</v>
      </c>
      <c r="H21" s="1"/>
      <c r="I21" s="11"/>
      <c r="J21" s="59"/>
    </row>
    <row r="22" spans="3:12" ht="15.95">
      <c r="C22" s="58" t="s">
        <v>74</v>
      </c>
      <c r="H22" s="1"/>
      <c r="I22" s="11"/>
      <c r="J22" s="59"/>
    </row>
    <row r="23" spans="3:12" ht="15">
      <c r="C23" s="61"/>
      <c r="D23" s="374" t="s">
        <v>75</v>
      </c>
      <c r="E23" s="374" t="s">
        <v>76</v>
      </c>
      <c r="F23" s="374" t="s">
        <v>77</v>
      </c>
      <c r="G23" s="701" t="s">
        <v>78</v>
      </c>
      <c r="H23" s="702"/>
      <c r="I23" s="11"/>
      <c r="J23" s="59"/>
    </row>
    <row r="24" spans="3:12" ht="15" customHeight="1">
      <c r="C24" s="374" t="s">
        <v>79</v>
      </c>
      <c r="D24" s="589" t="s">
        <v>80</v>
      </c>
      <c r="E24" s="589" t="s">
        <v>81</v>
      </c>
      <c r="F24" s="589" t="s">
        <v>81</v>
      </c>
      <c r="G24" s="703"/>
      <c r="H24" s="704"/>
      <c r="I24" s="11"/>
      <c r="J24" s="59"/>
    </row>
    <row r="25" spans="3:12" ht="15">
      <c r="C25" s="374" t="s">
        <v>82</v>
      </c>
      <c r="D25" s="589">
        <v>2000</v>
      </c>
      <c r="E25" s="589">
        <v>0</v>
      </c>
      <c r="F25" s="589">
        <v>0</v>
      </c>
      <c r="G25" s="380">
        <f>SUM(D25:F25)</f>
        <v>2000</v>
      </c>
      <c r="H25" s="185" t="s">
        <v>83</v>
      </c>
      <c r="I25" s="11"/>
      <c r="J25" s="59"/>
    </row>
    <row r="26" spans="3:12" ht="15.95">
      <c r="C26" s="374" t="s">
        <v>84</v>
      </c>
      <c r="D26" s="273">
        <f>IFERROR(INDEX(Energiutslipp[#All], MATCH(D16, Energiutslipp[[#All],[År]], 0), MATCH(D24, Energiutslipp[#Headers], 0)), "0")</f>
        <v>190</v>
      </c>
      <c r="E26" s="273" t="str">
        <f>IFERROR(INDEX(Energiutslipp[#All], MATCH(D16, Energiutslipp[[#All],[År]], 0), MATCH(E24, Energiutslipp[#Headers], 0)), "0")</f>
        <v>0</v>
      </c>
      <c r="F26" s="273" t="str">
        <f>IFERROR(INDEX(Energiutslipp[#All], MATCH(D16, Energiutslipp[[#All],[År]], 0), MATCH(F24, Energiutslipp[#Headers], 0)), "0")</f>
        <v>0</v>
      </c>
      <c r="G26" s="380">
        <f>(D25*D26+E25*E26+F25*F26)/G25</f>
        <v>190</v>
      </c>
      <c r="H26" s="185" t="s">
        <v>85</v>
      </c>
      <c r="I26" s="11"/>
      <c r="J26" s="59"/>
    </row>
    <row r="27" spans="3:12" ht="15.95">
      <c r="C27" s="374" t="s">
        <v>86</v>
      </c>
      <c r="D27" s="273">
        <f>IFERROR(INDEX(Materialutslipp[#All], MATCH(D16, Materialutslipp[[#All],[År]], 0), MATCH(D24, Materialutslipp[#Headers], 0)), "0")</f>
        <v>186</v>
      </c>
      <c r="E27" s="273" t="str">
        <f>IFERROR(INDEX(Materialutslipp[#All], MATCH(D16, Materialutslipp[[#All],[År]], 0), MATCH(E24, Materialutslipp[#Headers], 0)), "0")</f>
        <v>0</v>
      </c>
      <c r="F27" s="273" t="str">
        <f>IFERROR(INDEX(Materialutslipp[#All], MATCH(D16, Materialutslipp[[#All],[År]], 0), MATCH(F24, Materialutslipp[#Headers], 0)), "0")</f>
        <v>0</v>
      </c>
      <c r="G27" s="380">
        <f>(D25*D27+E25*E27+F25*F27)/G25</f>
        <v>186</v>
      </c>
      <c r="H27" s="185" t="s">
        <v>85</v>
      </c>
      <c r="I27" s="11"/>
      <c r="J27" s="59"/>
    </row>
    <row r="28" spans="3:12" ht="15.95">
      <c r="C28" s="374" t="s">
        <v>87</v>
      </c>
      <c r="D28" s="273">
        <f>IFERROR(INDEX(Totalutslipp[#All], MATCH(D16, Totalutslipp[[#All],[År]], 0), MATCH(D24, Totalutslipp[#Headers], 0)), "0")</f>
        <v>341</v>
      </c>
      <c r="E28" s="273" t="str">
        <f>IFERROR(INDEX(Totalutslipp[#All], MATCH(D16, Totalutslipp[[#All],[År]], 0), MATCH(E24, Totalutslipp[#Headers], 0)), "0")</f>
        <v>0</v>
      </c>
      <c r="F28" s="273" t="str">
        <f>IFERROR(INDEX(Totalutslipp[#All], MATCH(D16, Totalutslipp[[#All],[År]], 0), MATCH(F24, Totalutslipp[#Headers], 0)), "0")</f>
        <v>0</v>
      </c>
      <c r="G28" s="380">
        <f>(D25*D28+E25*E28+F25*F28)/G25</f>
        <v>341</v>
      </c>
      <c r="H28" s="185" t="s">
        <v>85</v>
      </c>
      <c r="I28" s="11"/>
      <c r="J28" s="59"/>
    </row>
    <row r="29" spans="3:12" ht="21" customHeight="1">
      <c r="C29" s="530" t="s">
        <v>88</v>
      </c>
      <c r="D29" s="163"/>
      <c r="E29" s="163"/>
      <c r="F29" s="163"/>
      <c r="G29" s="163"/>
      <c r="H29" s="56"/>
      <c r="I29" s="390"/>
      <c r="J29" s="164"/>
    </row>
    <row r="30" spans="3:12" ht="15">
      <c r="C30" s="17"/>
      <c r="H30" s="1"/>
      <c r="I30" s="11"/>
      <c r="L30" s="528" t="s">
        <v>89</v>
      </c>
    </row>
    <row r="31" spans="3:12" ht="15">
      <c r="C31" s="17"/>
      <c r="H31" s="1"/>
      <c r="I31" s="11"/>
    </row>
    <row r="32" spans="3:12" ht="27.95" customHeight="1">
      <c r="D32" s="1"/>
      <c r="E32" s="1"/>
    </row>
    <row r="33" spans="1:10" ht="29.1" customHeight="1">
      <c r="C33" s="60" t="s">
        <v>90</v>
      </c>
      <c r="D33" s="263"/>
      <c r="E33" s="160"/>
      <c r="F33" s="160"/>
      <c r="G33" s="160"/>
      <c r="H33" s="160"/>
      <c r="I33" s="160"/>
      <c r="J33" s="161"/>
    </row>
    <row r="34" spans="1:10" ht="15" customHeight="1">
      <c r="C34" s="201" t="s">
        <v>91</v>
      </c>
      <c r="J34" s="59"/>
    </row>
    <row r="35" spans="1:10" ht="15" customHeight="1">
      <c r="C35" s="201"/>
      <c r="J35" s="59"/>
    </row>
    <row r="36" spans="1:10" ht="15" customHeight="1">
      <c r="C36" s="58"/>
      <c r="D36" s="104" t="s">
        <v>64</v>
      </c>
      <c r="E36" s="104" t="s">
        <v>92</v>
      </c>
      <c r="F36" s="260" t="s">
        <v>93</v>
      </c>
      <c r="J36" s="59"/>
    </row>
    <row r="37" spans="1:10" ht="15" customHeight="1">
      <c r="C37" s="517" t="s">
        <v>94</v>
      </c>
      <c r="D37" s="590">
        <v>500</v>
      </c>
      <c r="E37" s="518"/>
      <c r="F37" s="516" t="s">
        <v>83</v>
      </c>
      <c r="G37" s="528" t="s">
        <v>95</v>
      </c>
      <c r="J37" s="59"/>
    </row>
    <row r="38" spans="1:10" ht="15" customHeight="1">
      <c r="B38" s="49"/>
      <c r="C38" s="519" t="s">
        <v>96</v>
      </c>
      <c r="D38" s="591">
        <v>2000</v>
      </c>
      <c r="E38" s="520"/>
      <c r="F38" s="444" t="s">
        <v>83</v>
      </c>
      <c r="J38" s="59"/>
    </row>
    <row r="39" spans="1:10" ht="15" customHeight="1">
      <c r="B39" s="49"/>
      <c r="C39" s="521" t="s">
        <v>97</v>
      </c>
      <c r="D39" s="591">
        <v>20</v>
      </c>
      <c r="E39" s="522"/>
      <c r="F39" s="523" t="s">
        <v>83</v>
      </c>
      <c r="G39" s="528" t="s">
        <v>98</v>
      </c>
      <c r="J39" s="59"/>
    </row>
    <row r="40" spans="1:10" ht="28.5" customHeight="1">
      <c r="A40" s="508" t="s">
        <v>99</v>
      </c>
      <c r="B40" s="274"/>
      <c r="C40" s="514" t="s">
        <v>100</v>
      </c>
      <c r="D40" s="592" t="s">
        <v>101</v>
      </c>
      <c r="E40" s="515">
        <f>IF(D40="Ja", (27.8*D38+4.96*D37), 0)</f>
        <v>0</v>
      </c>
      <c r="F40" s="516" t="s">
        <v>102</v>
      </c>
      <c r="J40" s="59"/>
    </row>
    <row r="41" spans="1:10" ht="42" customHeight="1">
      <c r="A41" s="508" t="s">
        <v>101</v>
      </c>
      <c r="B41" s="274"/>
      <c r="C41" s="506" t="s">
        <v>103</v>
      </c>
      <c r="D41" s="593" t="s">
        <v>101</v>
      </c>
      <c r="E41" s="507">
        <f>IF(D41="Ja", (52.1*D38+4.96*D37), 0)</f>
        <v>0</v>
      </c>
      <c r="F41" s="444" t="s">
        <v>102</v>
      </c>
      <c r="J41" s="59"/>
    </row>
    <row r="42" spans="1:10" ht="30.75" customHeight="1">
      <c r="B42" s="274"/>
      <c r="C42" s="524" t="s">
        <v>104</v>
      </c>
      <c r="D42" s="593" t="s">
        <v>99</v>
      </c>
      <c r="E42" s="507">
        <f>IF(D42="Ja", (143*D37+3.24*D38*D39), 0)</f>
        <v>201100</v>
      </c>
      <c r="F42" s="444" t="s">
        <v>102</v>
      </c>
      <c r="H42" s="373"/>
      <c r="J42" s="59"/>
    </row>
    <row r="43" spans="1:10" ht="27.95" customHeight="1">
      <c r="B43" s="274"/>
      <c r="C43" s="525" t="s">
        <v>105</v>
      </c>
      <c r="D43" s="594" t="s">
        <v>99</v>
      </c>
      <c r="E43" s="526">
        <f>IF(D43="Ja", (3350*(2+SQRT(D37))), 0)</f>
        <v>81608.277246242957</v>
      </c>
      <c r="F43" s="523" t="s">
        <v>102</v>
      </c>
      <c r="J43" s="59"/>
    </row>
    <row r="44" spans="1:10" ht="15" customHeight="1">
      <c r="B44" s="274"/>
      <c r="C44" s="527" t="s">
        <v>106</v>
      </c>
      <c r="J44" s="59"/>
    </row>
    <row r="45" spans="1:10" ht="15" customHeight="1">
      <c r="C45" s="58"/>
      <c r="J45" s="59"/>
    </row>
    <row r="46" spans="1:10" ht="15" customHeight="1">
      <c r="C46" s="58"/>
      <c r="D46" s="398" t="s">
        <v>107</v>
      </c>
      <c r="E46" s="260" t="s">
        <v>108</v>
      </c>
      <c r="F46" s="260" t="s">
        <v>109</v>
      </c>
      <c r="J46" s="59"/>
    </row>
    <row r="47" spans="1:10" ht="15" customHeight="1">
      <c r="C47" s="136"/>
      <c r="D47" s="399">
        <v>2020</v>
      </c>
      <c r="E47" s="271">
        <f>Ferdigstillelsesår</f>
        <v>2025</v>
      </c>
      <c r="F47" s="271">
        <f>Ferdigstillelsesår</f>
        <v>2025</v>
      </c>
      <c r="J47" s="59"/>
    </row>
    <row r="48" spans="1:10" ht="15" customHeight="1">
      <c r="C48" s="400" t="s">
        <v>110</v>
      </c>
      <c r="D48" s="512">
        <f>SUMIF(D40:D43,"JA",E40:E43)</f>
        <v>282708.27724624297</v>
      </c>
      <c r="E48" s="513">
        <f>VLOOKUP(Ferdigstillelsesår,'Verdier kravsnivå'!B128:F158,4)</f>
        <v>207847.12543143783</v>
      </c>
      <c r="F48" s="513">
        <f>VLOOKUP(Ferdigstillelsesår,'Verdier kravsnivå'!B128:F158,5)</f>
        <v>103923.56271571892</v>
      </c>
      <c r="J48" s="59"/>
    </row>
    <row r="49" spans="3:12" ht="15" customHeight="1">
      <c r="C49" s="143" t="s">
        <v>111</v>
      </c>
      <c r="D49" s="509">
        <f>D48/BRA_total</f>
        <v>141.35413862312149</v>
      </c>
      <c r="E49" s="510">
        <f>E48/G25</f>
        <v>103.92356271571892</v>
      </c>
      <c r="F49" s="511">
        <f>F48/G25</f>
        <v>51.961781357859458</v>
      </c>
      <c r="G49" s="528" t="s">
        <v>112</v>
      </c>
      <c r="J49" s="59"/>
    </row>
    <row r="50" spans="3:12">
      <c r="C50" s="162"/>
      <c r="D50" s="163"/>
      <c r="E50" s="163"/>
      <c r="F50" s="163"/>
      <c r="G50" s="163"/>
      <c r="H50" s="163"/>
      <c r="I50" s="163"/>
      <c r="J50" s="164"/>
    </row>
    <row r="52" spans="3:12" ht="15.95" customHeight="1">
      <c r="L52" s="528" t="s">
        <v>89</v>
      </c>
    </row>
    <row r="53" spans="3:12" ht="15.95" customHeight="1"/>
    <row r="54" spans="3:12" ht="23.1">
      <c r="C54" s="60" t="s">
        <v>113</v>
      </c>
      <c r="D54" s="160"/>
      <c r="E54" s="160"/>
      <c r="F54" s="160"/>
      <c r="G54" s="160"/>
      <c r="H54" s="160"/>
      <c r="I54" s="160"/>
      <c r="J54" s="161"/>
    </row>
    <row r="55" spans="3:12">
      <c r="C55" s="58" t="s">
        <v>114</v>
      </c>
      <c r="J55" s="59"/>
    </row>
    <row r="56" spans="3:12">
      <c r="C56" s="58" t="s">
        <v>115</v>
      </c>
      <c r="J56" s="59"/>
    </row>
    <row r="57" spans="3:12" ht="15" customHeight="1">
      <c r="C57" s="58"/>
      <c r="J57" s="59"/>
    </row>
    <row r="58" spans="3:12" ht="15" customHeight="1">
      <c r="C58" s="394" t="s">
        <v>116</v>
      </c>
      <c r="J58" s="59"/>
    </row>
    <row r="59" spans="3:12" ht="15" customHeight="1">
      <c r="C59" s="58" t="s">
        <v>117</v>
      </c>
      <c r="J59" s="59"/>
    </row>
    <row r="60" spans="3:12" ht="15" customHeight="1">
      <c r="C60" s="188" t="s">
        <v>118</v>
      </c>
      <c r="D60" s="595"/>
      <c r="E60" s="48" t="s">
        <v>119</v>
      </c>
      <c r="J60" s="59"/>
    </row>
    <row r="61" spans="3:12" ht="15" customHeight="1">
      <c r="C61" s="188" t="s">
        <v>120</v>
      </c>
      <c r="D61" s="595"/>
      <c r="E61" s="48" t="s">
        <v>119</v>
      </c>
      <c r="J61" s="59"/>
    </row>
    <row r="62" spans="3:12" ht="15" customHeight="1">
      <c r="C62" s="396" t="s">
        <v>121</v>
      </c>
      <c r="D62" s="596"/>
      <c r="E62" s="461" t="s">
        <v>119</v>
      </c>
      <c r="J62" s="59"/>
    </row>
    <row r="63" spans="3:12" ht="15" customHeight="1">
      <c r="C63" s="463"/>
      <c r="D63" s="464"/>
      <c r="E63" s="465"/>
      <c r="J63" s="59"/>
    </row>
    <row r="64" spans="3:12" ht="15" customHeight="1">
      <c r="C64" s="529" t="s">
        <v>122</v>
      </c>
      <c r="E64" s="395"/>
      <c r="J64" s="59"/>
    </row>
    <row r="65" spans="3:18" ht="15" customHeight="1">
      <c r="C65" s="188" t="s">
        <v>118</v>
      </c>
      <c r="D65" s="597"/>
      <c r="E65" s="48" t="s">
        <v>119</v>
      </c>
      <c r="J65" s="59"/>
    </row>
    <row r="66" spans="3:18" ht="15" customHeight="1">
      <c r="C66" s="188" t="s">
        <v>123</v>
      </c>
      <c r="D66" s="598"/>
      <c r="E66" s="462" t="s">
        <v>119</v>
      </c>
      <c r="J66" s="59"/>
    </row>
    <row r="67" spans="3:18" ht="15" customHeight="1">
      <c r="C67" s="188" t="s">
        <v>120</v>
      </c>
      <c r="D67" s="598"/>
      <c r="E67" s="462" t="s">
        <v>119</v>
      </c>
      <c r="J67" s="59"/>
    </row>
    <row r="68" spans="3:18" ht="12.75" customHeight="1">
      <c r="C68" s="18" t="s">
        <v>121</v>
      </c>
      <c r="D68" s="598"/>
      <c r="E68" s="462" t="s">
        <v>119</v>
      </c>
      <c r="G68" s="373"/>
      <c r="J68" s="59"/>
      <c r="R68" s="373"/>
    </row>
    <row r="69" spans="3:18" ht="15" customHeight="1">
      <c r="C69" s="58"/>
      <c r="J69" s="59"/>
    </row>
    <row r="70" spans="3:18" ht="15" customHeight="1">
      <c r="C70" s="58"/>
      <c r="F70" s="401"/>
      <c r="G70" s="401"/>
      <c r="H70" s="395"/>
      <c r="J70" s="59"/>
    </row>
    <row r="71" spans="3:18" ht="15" customHeight="1">
      <c r="C71" s="394" t="s">
        <v>124</v>
      </c>
      <c r="J71" s="59"/>
    </row>
    <row r="72" spans="3:18" ht="15" customHeight="1">
      <c r="C72" s="58" t="s">
        <v>125</v>
      </c>
      <c r="J72" s="59"/>
    </row>
    <row r="73" spans="3:18" ht="15" customHeight="1">
      <c r="C73" s="197"/>
      <c r="D73" s="198" t="str">
        <f>'ZERO-B Beregning'!D24</f>
        <v>Kontor</v>
      </c>
      <c r="E73" s="198" t="str">
        <f>'ZERO-B Beregning'!E24</f>
        <v>Velg bygningstype</v>
      </c>
      <c r="F73" s="198" t="str">
        <f>'ZERO-B Beregning'!F24</f>
        <v>Velg bygningstype</v>
      </c>
      <c r="G73" s="199" t="str">
        <f>'ZERO-B Beregning'!G23</f>
        <v>Bygget samlet</v>
      </c>
      <c r="H73" s="273"/>
      <c r="J73" s="59"/>
    </row>
    <row r="74" spans="3:18" ht="15" customHeight="1">
      <c r="C74" s="188" t="s">
        <v>118</v>
      </c>
      <c r="D74" s="599">
        <v>0</v>
      </c>
      <c r="E74" s="599">
        <v>0</v>
      </c>
      <c r="F74" s="599">
        <v>0</v>
      </c>
      <c r="G74" s="184">
        <f>(D74*'ZERO-B Beregning'!D$25+E74*'ZERO-B Beregning'!E$25+F74*'ZERO-B Beregning'!F$25)/'ZERO-B Beregning'!G$25</f>
        <v>0</v>
      </c>
      <c r="H74" s="185" t="s">
        <v>126</v>
      </c>
      <c r="J74" s="59"/>
    </row>
    <row r="75" spans="3:18" ht="15" customHeight="1">
      <c r="C75" s="188" t="s">
        <v>127</v>
      </c>
      <c r="D75" s="599">
        <v>0</v>
      </c>
      <c r="E75" s="599">
        <v>0</v>
      </c>
      <c r="F75" s="599">
        <v>0</v>
      </c>
      <c r="G75" s="184">
        <f>(D75*'ZERO-B Beregning'!D$25+E75*'ZERO-B Beregning'!E$25+F75*'ZERO-B Beregning'!F$25)/'ZERO-B Beregning'!G$25</f>
        <v>0</v>
      </c>
      <c r="H75" s="185" t="s">
        <v>126</v>
      </c>
      <c r="J75" s="59"/>
    </row>
    <row r="76" spans="3:18" ht="15" customHeight="1">
      <c r="C76" s="188" t="s">
        <v>120</v>
      </c>
      <c r="D76" s="600">
        <v>0</v>
      </c>
      <c r="E76" s="600">
        <v>0</v>
      </c>
      <c r="F76" s="600">
        <v>0</v>
      </c>
      <c r="G76" s="184">
        <f>(D76*'ZERO-B Beregning'!D$25+E76*'ZERO-B Beregning'!E$25+F76*'ZERO-B Beregning'!F$25)/'ZERO-B Beregning'!G$25</f>
        <v>0</v>
      </c>
      <c r="H76" s="185" t="s">
        <v>126</v>
      </c>
      <c r="J76" s="59"/>
    </row>
    <row r="77" spans="3:18" ht="15" customHeight="1">
      <c r="C77" s="200" t="s">
        <v>128</v>
      </c>
      <c r="D77" s="273"/>
      <c r="E77" s="273"/>
      <c r="F77" s="273"/>
      <c r="G77" s="186">
        <f>G74-G75+G76</f>
        <v>0</v>
      </c>
      <c r="H77" s="273"/>
      <c r="J77" s="59"/>
    </row>
    <row r="78" spans="3:18" ht="15" customHeight="1">
      <c r="C78" s="58"/>
      <c r="J78" s="59"/>
    </row>
    <row r="79" spans="3:18" ht="15" customHeight="1">
      <c r="C79" s="58"/>
      <c r="J79" s="59"/>
    </row>
    <row r="80" spans="3:18" ht="15" customHeight="1">
      <c r="C80" s="394" t="s">
        <v>129</v>
      </c>
      <c r="J80" s="59"/>
    </row>
    <row r="81" spans="2:10" ht="15" customHeight="1">
      <c r="C81" s="58" t="s">
        <v>130</v>
      </c>
      <c r="J81" s="59"/>
    </row>
    <row r="82" spans="2:10" ht="15" customHeight="1">
      <c r="C82" s="58" t="s">
        <v>131</v>
      </c>
      <c r="J82" s="59"/>
    </row>
    <row r="83" spans="2:10" ht="15" customHeight="1">
      <c r="C83" s="58" t="s">
        <v>132</v>
      </c>
      <c r="J83" s="59"/>
    </row>
    <row r="84" spans="2:10" ht="15" customHeight="1">
      <c r="C84" s="196" t="s">
        <v>133</v>
      </c>
      <c r="D84" s="46" t="s">
        <v>134</v>
      </c>
      <c r="E84" s="46" t="s">
        <v>135</v>
      </c>
      <c r="F84" s="46" t="s">
        <v>136</v>
      </c>
      <c r="G84" s="46" t="s">
        <v>137</v>
      </c>
      <c r="H84" s="46" t="s">
        <v>138</v>
      </c>
      <c r="J84" s="59"/>
    </row>
    <row r="85" spans="2:10" ht="15" customHeight="1">
      <c r="C85" s="188" t="s">
        <v>139</v>
      </c>
      <c r="D85" s="145">
        <v>0.56000000000000005</v>
      </c>
      <c r="E85" s="51">
        <f>_xlfn.XLOOKUP(Ferdigstillelsesår,År, Utslippsfaktorer_fjernvarme_avfall_gitt_år)</f>
        <v>0.1150987603645864</v>
      </c>
      <c r="F85" s="481">
        <v>1</v>
      </c>
      <c r="G85" s="481">
        <v>0.9</v>
      </c>
      <c r="H85" s="51">
        <f>E85/(F85*G85)</f>
        <v>0.12788751151620711</v>
      </c>
      <c r="J85" s="59"/>
    </row>
    <row r="86" spans="2:10" ht="15" customHeight="1">
      <c r="C86" s="188" t="s">
        <v>140</v>
      </c>
      <c r="D86" s="145">
        <v>1E-3</v>
      </c>
      <c r="E86" s="51">
        <f>0.296</f>
        <v>0.29599999999999999</v>
      </c>
      <c r="F86" s="481">
        <v>0.82</v>
      </c>
      <c r="G86" s="481">
        <v>0.9</v>
      </c>
      <c r="H86" s="51">
        <f t="shared" ref="H86:H91" si="0">E86/(F86*G86)</f>
        <v>0.40108401084010836</v>
      </c>
      <c r="J86" s="59"/>
    </row>
    <row r="87" spans="2:10" ht="15" customHeight="1">
      <c r="C87" s="188" t="s">
        <v>141</v>
      </c>
      <c r="D87" s="145">
        <v>1.4E-2</v>
      </c>
      <c r="E87" s="51">
        <f>0.251</f>
        <v>0.251</v>
      </c>
      <c r="F87" s="481">
        <v>0.82</v>
      </c>
      <c r="G87" s="481">
        <v>0.9</v>
      </c>
      <c r="H87" s="51">
        <f t="shared" si="0"/>
        <v>0.34010840108401086</v>
      </c>
      <c r="J87" s="59"/>
    </row>
    <row r="88" spans="2:10" ht="15" customHeight="1">
      <c r="C88" s="188" t="s">
        <v>142</v>
      </c>
      <c r="D88" s="145">
        <v>0.125</v>
      </c>
      <c r="E88" s="51">
        <f>_xlfn.XLOOKUP(Ferdigstillelsesår,År,Utslippsfaktorer_elektrisitet_gitt_år)</f>
        <v>0.30633333333333335</v>
      </c>
      <c r="F88" s="481">
        <v>0.99</v>
      </c>
      <c r="G88" s="481">
        <v>0.9</v>
      </c>
      <c r="H88" s="51">
        <f t="shared" si="0"/>
        <v>0.34380845491956602</v>
      </c>
      <c r="J88" s="59"/>
    </row>
    <row r="89" spans="2:10" ht="15" customHeight="1">
      <c r="C89" s="188" t="s">
        <v>143</v>
      </c>
      <c r="D89" s="145">
        <v>0.187</v>
      </c>
      <c r="E89" s="51">
        <v>8.3000000000000004E-2</v>
      </c>
      <c r="F89" s="481">
        <v>0.82</v>
      </c>
      <c r="G89" s="481">
        <v>0.9</v>
      </c>
      <c r="H89" s="51">
        <f t="shared" si="0"/>
        <v>0.11246612466124661</v>
      </c>
      <c r="J89" s="59"/>
    </row>
    <row r="90" spans="2:10" ht="15" customHeight="1">
      <c r="C90" s="188" t="s">
        <v>144</v>
      </c>
      <c r="D90" s="145">
        <v>0.112</v>
      </c>
      <c r="E90" s="51">
        <f>_xlfn.XLOOKUP(Ferdigstillelsesår,År,Utslippsfaktorer_elektrisitet_gitt_år)</f>
        <v>0.30633333333333335</v>
      </c>
      <c r="F90" s="481">
        <v>1</v>
      </c>
      <c r="G90" s="481">
        <f>3*0.9</f>
        <v>2.7</v>
      </c>
      <c r="H90" s="51">
        <f t="shared" si="0"/>
        <v>0.11345679012345679</v>
      </c>
      <c r="J90" s="59"/>
    </row>
    <row r="91" spans="2:10" ht="15" customHeight="1">
      <c r="C91" s="188" t="s">
        <v>145</v>
      </c>
      <c r="D91" s="145">
        <v>0</v>
      </c>
      <c r="E91" s="51">
        <v>0</v>
      </c>
      <c r="F91" s="481">
        <v>1</v>
      </c>
      <c r="G91" s="481">
        <v>0.9</v>
      </c>
      <c r="H91" s="51">
        <f t="shared" si="0"/>
        <v>0</v>
      </c>
      <c r="J91" s="59"/>
    </row>
    <row r="92" spans="2:10" ht="15" customHeight="1">
      <c r="C92" s="189" t="s">
        <v>128</v>
      </c>
      <c r="D92" s="52">
        <f>SUM(D85:D91)</f>
        <v>0.999</v>
      </c>
      <c r="J92" s="59"/>
    </row>
    <row r="93" spans="2:10" ht="15" customHeight="1">
      <c r="C93" s="58"/>
      <c r="J93" s="59"/>
    </row>
    <row r="94" spans="2:10" ht="15" customHeight="1">
      <c r="C94" s="58"/>
      <c r="J94" s="59"/>
    </row>
    <row r="95" spans="2:10" ht="15" customHeight="1">
      <c r="B95" s="480"/>
      <c r="C95" s="44" t="s">
        <v>146</v>
      </c>
      <c r="J95" s="59"/>
    </row>
    <row r="96" spans="2:10" ht="15" customHeight="1">
      <c r="B96" s="480"/>
      <c r="C96" s="8" t="s">
        <v>147</v>
      </c>
      <c r="J96" s="59"/>
    </row>
    <row r="97" spans="2:18" ht="15" customHeight="1">
      <c r="B97" s="480"/>
      <c r="C97" s="8" t="s">
        <v>148</v>
      </c>
      <c r="J97" s="59"/>
    </row>
    <row r="98" spans="2:18">
      <c r="B98" s="480"/>
      <c r="C98" s="8" t="s">
        <v>149</v>
      </c>
      <c r="J98" s="59"/>
    </row>
    <row r="99" spans="2:18" ht="15">
      <c r="B99" s="480"/>
      <c r="C99" s="477" t="s">
        <v>150</v>
      </c>
      <c r="D99" s="46" t="s">
        <v>134</v>
      </c>
      <c r="E99" s="46" t="s">
        <v>135</v>
      </c>
      <c r="F99" s="46" t="s">
        <v>136</v>
      </c>
      <c r="G99" s="46" t="s">
        <v>137</v>
      </c>
      <c r="H99" s="46" t="s">
        <v>138</v>
      </c>
      <c r="J99" s="59"/>
    </row>
    <row r="100" spans="2:18">
      <c r="B100" s="480"/>
      <c r="C100" s="478" t="s">
        <v>139</v>
      </c>
      <c r="D100" s="145">
        <v>0.56000000000000005</v>
      </c>
      <c r="E100" s="51">
        <f>_xlfn.XLOOKUP(Ferdigstillelsesår,År, Utslippsfaktorer_fjernvarme_avfall_snitt)</f>
        <v>7.4451489815207356E-2</v>
      </c>
      <c r="F100" s="481">
        <v>1</v>
      </c>
      <c r="G100" s="481">
        <v>0.9</v>
      </c>
      <c r="H100" s="51">
        <f>E100/(F100*G100)</f>
        <v>8.2723877572452614E-2</v>
      </c>
      <c r="J100" s="59"/>
    </row>
    <row r="101" spans="2:18">
      <c r="B101" s="480"/>
      <c r="C101" s="478" t="s">
        <v>140</v>
      </c>
      <c r="D101" s="145">
        <v>1E-3</v>
      </c>
      <c r="E101" s="51">
        <f>0.296</f>
        <v>0.29599999999999999</v>
      </c>
      <c r="F101" s="481">
        <v>0.82</v>
      </c>
      <c r="G101" s="481">
        <v>0.9</v>
      </c>
      <c r="H101" s="51">
        <f t="shared" ref="H101:H106" si="1">E101/(F101*G101)</f>
        <v>0.40108401084010836</v>
      </c>
      <c r="J101" s="402"/>
    </row>
    <row r="102" spans="2:18">
      <c r="B102" s="480"/>
      <c r="C102" s="478" t="s">
        <v>141</v>
      </c>
      <c r="D102" s="145">
        <v>1.4E-2</v>
      </c>
      <c r="E102" s="51">
        <f>0.251</f>
        <v>0.251</v>
      </c>
      <c r="F102" s="481">
        <v>0.82</v>
      </c>
      <c r="G102" s="481">
        <v>0.9</v>
      </c>
      <c r="H102" s="51">
        <f t="shared" si="1"/>
        <v>0.34010840108401086</v>
      </c>
      <c r="J102" s="402"/>
    </row>
    <row r="103" spans="2:18">
      <c r="B103" s="480"/>
      <c r="C103" s="478" t="s">
        <v>142</v>
      </c>
      <c r="D103" s="145">
        <v>0.125</v>
      </c>
      <c r="E103" s="51">
        <f>_xlfn.XLOOKUP(Ferdigstillelsesår,År,Utslippsfaktorer_elektrisitet_snitt)</f>
        <v>8.272537574646871E-2</v>
      </c>
      <c r="F103" s="481">
        <v>0.99</v>
      </c>
      <c r="G103" s="481">
        <v>0.9</v>
      </c>
      <c r="H103" s="51">
        <f t="shared" si="1"/>
        <v>9.2845539558326279E-2</v>
      </c>
      <c r="J103" s="59"/>
      <c r="R103" s="373"/>
    </row>
    <row r="104" spans="2:18">
      <c r="B104" s="480"/>
      <c r="C104" s="478" t="s">
        <v>143</v>
      </c>
      <c r="D104" s="145">
        <v>0.187</v>
      </c>
      <c r="E104" s="51">
        <v>9.0999999999999998E-2</v>
      </c>
      <c r="F104" s="481">
        <v>0.82</v>
      </c>
      <c r="G104" s="481">
        <v>0.9</v>
      </c>
      <c r="H104" s="51">
        <f t="shared" si="1"/>
        <v>0.12330623306233063</v>
      </c>
      <c r="J104" s="59"/>
    </row>
    <row r="105" spans="2:18">
      <c r="B105" s="480"/>
      <c r="C105" s="478" t="s">
        <v>144</v>
      </c>
      <c r="D105" s="145">
        <v>0.112</v>
      </c>
      <c r="E105" s="51">
        <f>_xlfn.XLOOKUP(Ferdigstillelsesår,År,Utslippsfaktorer_elektrisitet_snitt)</f>
        <v>8.272537574646871E-2</v>
      </c>
      <c r="F105" s="481">
        <v>1</v>
      </c>
      <c r="G105" s="481">
        <f>3*0.9</f>
        <v>2.7</v>
      </c>
      <c r="H105" s="51">
        <f t="shared" si="1"/>
        <v>3.0639028054247668E-2</v>
      </c>
      <c r="J105" s="59"/>
    </row>
    <row r="106" spans="2:18">
      <c r="B106" s="480"/>
      <c r="C106" s="478" t="s">
        <v>145</v>
      </c>
      <c r="D106" s="145">
        <v>0</v>
      </c>
      <c r="E106" s="51">
        <v>0</v>
      </c>
      <c r="F106" s="481">
        <v>1</v>
      </c>
      <c r="G106" s="481">
        <v>0.9</v>
      </c>
      <c r="H106" s="51">
        <f t="shared" si="1"/>
        <v>0</v>
      </c>
      <c r="J106" s="59"/>
    </row>
    <row r="107" spans="2:18" ht="18">
      <c r="B107" s="480"/>
      <c r="C107" s="479" t="s">
        <v>128</v>
      </c>
      <c r="D107" s="52">
        <f>SUM(D100:D106)</f>
        <v>0.999</v>
      </c>
      <c r="F107" s="403"/>
      <c r="J107" s="59"/>
    </row>
    <row r="108" spans="2:18">
      <c r="B108" s="480"/>
      <c r="J108" s="59"/>
    </row>
    <row r="109" spans="2:18">
      <c r="C109" s="58"/>
      <c r="J109" s="59"/>
    </row>
    <row r="110" spans="2:18" ht="15.95">
      <c r="C110" s="394" t="s">
        <v>151</v>
      </c>
      <c r="J110" s="59"/>
    </row>
    <row r="111" spans="2:18">
      <c r="C111" s="58" t="s">
        <v>152</v>
      </c>
      <c r="J111" s="59"/>
    </row>
    <row r="112" spans="2:18">
      <c r="C112" s="196" t="s">
        <v>153</v>
      </c>
      <c r="D112" s="46" t="s">
        <v>154</v>
      </c>
      <c r="E112" s="46" t="s">
        <v>93</v>
      </c>
      <c r="F112" s="46" t="s">
        <v>155</v>
      </c>
      <c r="J112" s="59"/>
    </row>
    <row r="113" spans="3:10" ht="30.75" customHeight="1">
      <c r="C113" s="261" t="s">
        <v>156</v>
      </c>
      <c r="D113" s="48">
        <f>Transport_avstand_til_avfallshåndtering</f>
        <v>50</v>
      </c>
      <c r="E113" s="262" t="s">
        <v>157</v>
      </c>
      <c r="F113" s="595"/>
      <c r="J113" s="59"/>
    </row>
    <row r="114" spans="3:10" ht="32.25" customHeight="1">
      <c r="C114" s="261" t="s">
        <v>158</v>
      </c>
      <c r="D114" s="48">
        <f>Transport_utslippsfaktor_til_avfallshåndtering</f>
        <v>0.16600000000000001</v>
      </c>
      <c r="E114" s="262" t="s">
        <v>159</v>
      </c>
      <c r="F114" s="595"/>
      <c r="J114" s="59"/>
    </row>
    <row r="115" spans="3:10" ht="32.25" customHeight="1">
      <c r="C115" s="557" t="s">
        <v>160</v>
      </c>
      <c r="D115" s="48">
        <v>50</v>
      </c>
      <c r="E115" s="262" t="s">
        <v>157</v>
      </c>
      <c r="F115" s="595"/>
      <c r="J115" s="59"/>
    </row>
    <row r="116" spans="3:10">
      <c r="C116" s="530" t="s">
        <v>161</v>
      </c>
      <c r="D116" s="163"/>
      <c r="E116" s="163"/>
      <c r="F116" s="163"/>
      <c r="G116" s="163"/>
      <c r="H116" s="163"/>
      <c r="I116" s="163"/>
      <c r="J116" s="164"/>
    </row>
  </sheetData>
  <mergeCells count="1">
    <mergeCell ref="G23:H24"/>
  </mergeCells>
  <phoneticPr fontId="32" type="noConversion"/>
  <conditionalFormatting sqref="D85:D91">
    <cfRule type="containsBlanks" dxfId="101" priority="33">
      <formula>LEN(TRIM(D85))=0</formula>
    </cfRule>
  </conditionalFormatting>
  <conditionalFormatting sqref="D92">
    <cfRule type="cellIs" dxfId="100" priority="34" operator="greaterThan">
      <formula>1</formula>
    </cfRule>
  </conditionalFormatting>
  <conditionalFormatting sqref="D100:D106">
    <cfRule type="containsBlanks" dxfId="99" priority="10">
      <formula>LEN(TRIM(D100))=0</formula>
    </cfRule>
  </conditionalFormatting>
  <conditionalFormatting sqref="D107">
    <cfRule type="cellIs" dxfId="98" priority="65" operator="greaterThan">
      <formula>1</formula>
    </cfRule>
  </conditionalFormatting>
  <conditionalFormatting sqref="F85:G91">
    <cfRule type="containsBlanks" dxfId="97" priority="4">
      <formula>LEN(TRIM(F85))=0</formula>
    </cfRule>
  </conditionalFormatting>
  <conditionalFormatting sqref="F100:G106">
    <cfRule type="containsBlanks" dxfId="96" priority="1">
      <formula>LEN(TRIM(F100))=0</formula>
    </cfRule>
  </conditionalFormatting>
  <dataValidations count="2">
    <dataValidation type="list" allowBlank="1" showInputMessage="1" showErrorMessage="1" sqref="D16" xr:uid="{C38BD3E2-BA76-D345-A98A-07B80C5B996F}">
      <formula1>År</formula1>
    </dataValidation>
    <dataValidation type="list" allowBlank="1" showInputMessage="1" showErrorMessage="1" sqref="D40:D43" xr:uid="{43AE86FD-F7B0-4900-B1AA-D56F995C3CF0}">
      <formula1>$A$40:$A$41</formula1>
    </dataValidation>
  </dataValidations>
  <pageMargins left="0.7" right="0.7" top="0.75" bottom="0.75" header="0.3" footer="0.3"/>
  <pageSetup paperSize="9" orientation="portrait" horizontalDpi="4294967293" r:id="rId1"/>
  <headerFooter>
    <oddFooter>&amp;C_x000D_&amp;1#&amp;"Verdana"&amp;7&amp;K000000 Confidential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7EC8E74-A8A9-B94F-A80A-1ABD4737D4E5}">
          <x14:formula1>
            <xm:f>'Lister og verdier'!$K$13:$K$26</xm:f>
          </x14:formula1>
          <xm:sqref>D24:F24</xm:sqref>
        </x14:dataValidation>
        <x14:dataValidation type="list" allowBlank="1" showInputMessage="1" showErrorMessage="1" xr:uid="{4777DC53-AF9A-FE46-979B-31B702EE953F}">
          <x14:formula1>
            <xm:f>'Lister og verdier'!$K$7:$K$10</xm:f>
          </x14:formula1>
          <xm:sqref>D12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6CB2C-1796-8145-B8E8-027589DB23B9}">
  <sheetPr codeName="Sheet4"/>
  <dimension ref="B1:AB143"/>
  <sheetViews>
    <sheetView zoomScaleNormal="100" workbookViewId="0">
      <selection activeCell="S28" sqref="S28"/>
    </sheetView>
  </sheetViews>
  <sheetFormatPr defaultColWidth="10.875" defaultRowHeight="15"/>
  <cols>
    <col min="1" max="1" width="10.875" style="1"/>
    <col min="2" max="2" width="18.125" style="1" customWidth="1"/>
    <col min="3" max="3" width="27.625" style="1" customWidth="1"/>
    <col min="4" max="4" width="12.375" style="1" customWidth="1"/>
    <col min="5" max="5" width="13.625" style="1" customWidth="1"/>
    <col min="6" max="6" width="10.875" style="1"/>
    <col min="7" max="9" width="13.875" style="1" customWidth="1"/>
    <col min="10" max="10" width="15.125" style="1" customWidth="1"/>
    <col min="11" max="11" width="19.875" style="1" customWidth="1"/>
    <col min="12" max="12" width="23.5" style="1" customWidth="1"/>
    <col min="13" max="13" width="19.875" style="1" customWidth="1"/>
    <col min="14" max="16384" width="10.875" style="1"/>
  </cols>
  <sheetData>
    <row r="1" spans="2:11">
      <c r="B1" s="8"/>
      <c r="H1" s="8"/>
      <c r="I1" s="8"/>
      <c r="J1" s="8"/>
      <c r="K1" s="8"/>
    </row>
    <row r="2" spans="2:11" ht="36.950000000000003">
      <c r="B2" s="103" t="s">
        <v>162</v>
      </c>
      <c r="H2" s="8"/>
      <c r="I2" s="8"/>
      <c r="J2" s="8"/>
      <c r="K2" s="8"/>
    </row>
    <row r="3" spans="2:11">
      <c r="B3" s="20" t="s">
        <v>163</v>
      </c>
      <c r="H3" s="8"/>
      <c r="I3" s="8"/>
      <c r="J3" s="8"/>
      <c r="K3" s="8"/>
    </row>
    <row r="4" spans="2:11">
      <c r="B4" s="20" t="s">
        <v>164</v>
      </c>
      <c r="H4" s="8"/>
      <c r="I4" s="8"/>
      <c r="J4" s="8"/>
      <c r="K4" s="8"/>
    </row>
    <row r="5" spans="2:11">
      <c r="H5" s="8"/>
      <c r="I5" s="8"/>
      <c r="J5" s="8"/>
      <c r="K5" s="8"/>
    </row>
    <row r="6" spans="2:11" ht="15.95">
      <c r="B6" s="383" t="s">
        <v>165</v>
      </c>
      <c r="H6" s="8"/>
      <c r="I6" s="8"/>
      <c r="J6" s="8"/>
      <c r="K6" s="8"/>
    </row>
    <row r="7" spans="2:11">
      <c r="B7" s="729"/>
      <c r="C7" s="726" t="str">
        <f>'ZERO-B Beregning'!$G$23</f>
        <v>Bygget samlet</v>
      </c>
      <c r="D7" s="727"/>
      <c r="E7" s="728"/>
      <c r="H7" s="8"/>
      <c r="I7" s="8"/>
      <c r="J7" s="8"/>
      <c r="K7" s="8"/>
    </row>
    <row r="8" spans="2:11">
      <c r="B8" s="729"/>
      <c r="C8" s="53" t="s">
        <v>166</v>
      </c>
      <c r="D8" s="50" t="s">
        <v>167</v>
      </c>
      <c r="E8" s="43" t="s">
        <v>168</v>
      </c>
      <c r="H8" s="8"/>
      <c r="I8" s="8"/>
      <c r="J8" s="8"/>
      <c r="K8" s="8"/>
    </row>
    <row r="9" spans="2:11">
      <c r="B9" s="54" t="s">
        <v>169</v>
      </c>
      <c r="C9" s="57">
        <f>'ZERO-B Resultat'!F94+'ZERO-B Resultat'!F98+'ZERO-B Resultat'!F104+'ZERO-B Resultat'!F107+'ZERO-B Resultat'!F110</f>
        <v>17.365098962674271</v>
      </c>
      <c r="D9" s="45">
        <f>'ZERO-B Beregning'!G27</f>
        <v>186</v>
      </c>
      <c r="E9" s="272" t="str">
        <f>IF(C9&lt;D9,"Ja","Nei")</f>
        <v>Ja</v>
      </c>
      <c r="F9" s="381"/>
      <c r="G9" s="382"/>
      <c r="H9" s="8"/>
      <c r="I9" s="8"/>
      <c r="J9" s="8"/>
      <c r="K9" s="8"/>
    </row>
    <row r="10" spans="2:11">
      <c r="B10" s="18" t="s">
        <v>170</v>
      </c>
      <c r="C10" s="57">
        <f>'ZERO-B Resultat'!C82</f>
        <v>0</v>
      </c>
      <c r="D10" s="45">
        <f>'ZERO-B Beregning'!G26</f>
        <v>190</v>
      </c>
      <c r="E10" s="272" t="str">
        <f>IF(C10&lt;D10,"Ja","Nei")</f>
        <v>Ja</v>
      </c>
      <c r="F10" s="381"/>
      <c r="G10" s="382"/>
      <c r="H10" s="8"/>
      <c r="I10" s="8"/>
      <c r="J10" s="8"/>
      <c r="K10" s="8"/>
    </row>
    <row r="11" spans="2:11">
      <c r="B11" s="18" t="s">
        <v>87</v>
      </c>
      <c r="C11" s="57">
        <f>SUM(C9:C10)</f>
        <v>17.365098962674271</v>
      </c>
      <c r="D11" s="45">
        <f>'ZERO-B Beregning'!G28</f>
        <v>341</v>
      </c>
      <c r="E11" s="272" t="str">
        <f>IF(C11&lt;D11,"Ja","Nei")</f>
        <v>Ja</v>
      </c>
      <c r="F11" s="8"/>
      <c r="G11" s="8"/>
      <c r="H11" s="8"/>
      <c r="I11" s="8"/>
      <c r="J11" s="8"/>
      <c r="K11" s="8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2:11"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2:11"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2:11"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2:11"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2:11"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2:11"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2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2:11"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2:11"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2:11"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2:11"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2:11"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2:11"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2:11"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2:11"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2:11"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2:11"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2:11"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2:11"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2:13"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2:13"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2:13">
      <c r="F35" s="8"/>
      <c r="G35" s="8"/>
      <c r="H35" s="8"/>
      <c r="I35" s="8"/>
      <c r="J35" s="8"/>
      <c r="K35" s="8"/>
    </row>
    <row r="36" spans="2:13">
      <c r="F36" s="8"/>
      <c r="G36" s="8"/>
      <c r="H36" s="8"/>
      <c r="I36" s="8"/>
      <c r="J36" s="8"/>
      <c r="K36" s="8"/>
    </row>
    <row r="37" spans="2:13">
      <c r="F37" s="8"/>
      <c r="G37" s="8"/>
      <c r="H37" s="8"/>
      <c r="I37" s="8"/>
      <c r="J37" s="8"/>
      <c r="K37" s="8"/>
    </row>
    <row r="38" spans="2:13" ht="15.95">
      <c r="B38" s="383" t="s">
        <v>171</v>
      </c>
      <c r="C38" s="8"/>
      <c r="D38" s="8"/>
      <c r="E38" s="8"/>
      <c r="F38" s="8"/>
      <c r="G38" s="8"/>
      <c r="H38" s="8"/>
      <c r="I38" s="8"/>
      <c r="J38" s="383" t="s">
        <v>172</v>
      </c>
      <c r="K38" s="8"/>
      <c r="L38" s="8"/>
      <c r="M38" s="8"/>
    </row>
    <row r="39" spans="2:13">
      <c r="B39" s="724"/>
      <c r="C39" s="726" t="s">
        <v>173</v>
      </c>
      <c r="D39" s="727"/>
      <c r="E39" s="728"/>
      <c r="F39" s="8"/>
      <c r="G39" s="8"/>
      <c r="H39" s="8"/>
      <c r="I39" s="8"/>
      <c r="J39" s="724"/>
      <c r="K39" s="726" t="s">
        <v>174</v>
      </c>
      <c r="L39" s="727"/>
      <c r="M39" s="728"/>
    </row>
    <row r="40" spans="2:13">
      <c r="B40" s="725"/>
      <c r="C40" s="53" t="s">
        <v>166</v>
      </c>
      <c r="D40" s="50" t="s">
        <v>167</v>
      </c>
      <c r="E40" s="43" t="s">
        <v>168</v>
      </c>
      <c r="F40" s="8"/>
      <c r="G40" s="8"/>
      <c r="H40" s="8"/>
      <c r="I40" s="8"/>
      <c r="J40" s="725"/>
      <c r="K40" s="53" t="s">
        <v>175</v>
      </c>
      <c r="L40" s="50" t="s">
        <v>176</v>
      </c>
      <c r="M40" s="43" t="s">
        <v>177</v>
      </c>
    </row>
    <row r="41" spans="2:13">
      <c r="B41" s="54" t="s">
        <v>169</v>
      </c>
      <c r="C41" s="250">
        <f>'Tillegg- Res. detaljert GoF'!D8/BRA_total</f>
        <v>1.0560822716860816</v>
      </c>
      <c r="D41" s="251">
        <f>'ZERO-B Beregning'!F49</f>
        <v>51.961781357859458</v>
      </c>
      <c r="E41" s="272" t="str">
        <f>IF(C41&lt;D41,"Ja","Nei")</f>
        <v>Ja</v>
      </c>
      <c r="F41" s="8"/>
      <c r="G41" s="8"/>
      <c r="H41" s="8"/>
      <c r="I41" s="8"/>
      <c r="J41" s="54" t="s">
        <v>169</v>
      </c>
      <c r="K41" s="250">
        <f>'Tillegg- Res. Det. Øvrige'!D8</f>
        <v>14178.945059783226</v>
      </c>
      <c r="L41" s="251">
        <f>'ZERO-B Beregning'!G27*BRA_total</f>
        <v>372000</v>
      </c>
      <c r="M41" s="408">
        <f>K41*100/L41</f>
        <v>3.8115443709094694</v>
      </c>
    </row>
    <row r="42" spans="2:13">
      <c r="B42" s="531" t="s">
        <v>178</v>
      </c>
      <c r="F42" s="8"/>
      <c r="G42" s="8"/>
      <c r="H42" s="8"/>
      <c r="I42" s="8"/>
      <c r="J42" s="8"/>
      <c r="K42" s="8"/>
    </row>
    <row r="43" spans="2:13">
      <c r="F43" s="8"/>
      <c r="G43" s="8"/>
      <c r="H43" s="8"/>
      <c r="I43" s="8"/>
      <c r="J43" s="8"/>
      <c r="K43" s="8"/>
    </row>
    <row r="44" spans="2:13">
      <c r="F44" s="8"/>
      <c r="G44" s="8"/>
      <c r="H44" s="8"/>
      <c r="I44" s="8"/>
      <c r="J44" s="8"/>
      <c r="K44" s="8"/>
    </row>
    <row r="45" spans="2:13">
      <c r="F45" s="8"/>
      <c r="G45" s="8"/>
      <c r="H45" s="8"/>
      <c r="I45" s="8"/>
      <c r="J45" s="8"/>
      <c r="K45" s="8"/>
    </row>
    <row r="46" spans="2:13">
      <c r="F46" s="8"/>
      <c r="G46" s="8"/>
      <c r="H46" s="8"/>
      <c r="I46" s="8"/>
      <c r="J46" s="8"/>
      <c r="K46" s="8"/>
    </row>
    <row r="47" spans="2:13">
      <c r="F47" s="8"/>
      <c r="G47" s="8"/>
      <c r="H47" s="8"/>
      <c r="I47" s="8"/>
      <c r="J47" s="8"/>
      <c r="K47" s="8"/>
    </row>
    <row r="48" spans="2:13">
      <c r="F48" s="8"/>
      <c r="G48" s="8"/>
      <c r="H48" s="8"/>
      <c r="I48" s="8"/>
      <c r="J48" s="8"/>
      <c r="K48" s="8"/>
    </row>
    <row r="49" spans="6:28">
      <c r="F49" s="8"/>
      <c r="G49" s="8"/>
      <c r="H49" s="8"/>
      <c r="I49" s="8"/>
      <c r="J49" s="8"/>
      <c r="K49" s="8"/>
    </row>
    <row r="64" spans="6:28">
      <c r="Z64" s="373"/>
      <c r="AA64" s="373"/>
      <c r="AB64" s="373"/>
    </row>
    <row r="65" spans="2:28">
      <c r="Z65" s="373"/>
      <c r="AA65" s="373"/>
      <c r="AB65" s="373"/>
    </row>
    <row r="66" spans="2:28">
      <c r="Z66" s="373"/>
      <c r="AA66" s="373"/>
      <c r="AB66" s="373"/>
    </row>
    <row r="67" spans="2:28">
      <c r="F67" s="8"/>
      <c r="G67" s="8"/>
      <c r="H67" s="8"/>
      <c r="I67" s="8"/>
      <c r="Z67" s="373"/>
      <c r="AA67" s="373"/>
      <c r="AB67" s="373"/>
    </row>
    <row r="68" spans="2:28">
      <c r="F68" s="8"/>
      <c r="G68" s="8"/>
      <c r="H68" s="8"/>
      <c r="I68" s="8"/>
      <c r="Z68" s="373"/>
      <c r="AA68" s="373"/>
      <c r="AB68" s="373"/>
    </row>
    <row r="69" spans="2:28">
      <c r="F69" s="8"/>
      <c r="G69" s="8"/>
      <c r="H69" s="8"/>
      <c r="I69" s="8"/>
      <c r="Z69" s="373"/>
      <c r="AA69" s="373"/>
      <c r="AB69" s="373"/>
    </row>
    <row r="70" spans="2:28">
      <c r="Z70" s="373"/>
      <c r="AA70" s="373"/>
      <c r="AB70" s="373"/>
    </row>
    <row r="71" spans="2:28">
      <c r="Z71" s="373"/>
      <c r="AA71" s="373"/>
      <c r="AB71" s="373"/>
    </row>
    <row r="72" spans="2:28" ht="15.95">
      <c r="B72" s="383" t="s">
        <v>179</v>
      </c>
      <c r="C72" s="373"/>
      <c r="E72" s="373"/>
      <c r="F72" s="373"/>
      <c r="G72" s="373"/>
      <c r="H72" s="373"/>
      <c r="Z72" s="373"/>
      <c r="AA72" s="373"/>
      <c r="AB72" s="373"/>
    </row>
    <row r="73" spans="2:28" ht="15.95">
      <c r="B73" s="228" t="s">
        <v>118</v>
      </c>
      <c r="C73" s="229">
        <f>'ZERO-B Beregning'!$D$60*_xlfn.XLOOKUP(Ferdigstillelsesår, År, Utslippsfaktorer_elektrisitet_gitt_år)/'ZERO-B Beregning'!G25</f>
        <v>0</v>
      </c>
      <c r="D73" s="388" t="s">
        <v>180</v>
      </c>
      <c r="E73" s="373"/>
      <c r="F73" s="373"/>
      <c r="G73" s="373"/>
      <c r="H73" s="373"/>
      <c r="Z73" s="373"/>
      <c r="AA73" s="373"/>
      <c r="AB73" s="373"/>
    </row>
    <row r="74" spans="2:28" ht="15.95">
      <c r="B74" s="230" t="s">
        <v>120</v>
      </c>
      <c r="C74" s="231">
        <f>SUMPRODUCT('ZERO-B Beregning'!D85:D91,'ZERO-B Beregning'!H85:H91)*'ZERO-B Beregning'!D61/'ZERO-B Beregning'!G25</f>
        <v>0</v>
      </c>
      <c r="D74" s="388" t="s">
        <v>180</v>
      </c>
      <c r="E74" s="373"/>
      <c r="F74" s="373"/>
      <c r="G74" s="373"/>
      <c r="H74" s="373"/>
      <c r="Z74" s="373"/>
      <c r="AA74" s="373"/>
      <c r="AB74" s="373"/>
    </row>
    <row r="75" spans="2:28" ht="15.95">
      <c r="B75" s="230" t="s">
        <v>121</v>
      </c>
      <c r="C75" s="231">
        <f>'ZERO-B Beregning'!D62*0.083/'ZERO-B Beregning'!G25</f>
        <v>0</v>
      </c>
      <c r="D75" s="388" t="s">
        <v>180</v>
      </c>
      <c r="E75" s="373"/>
      <c r="G75" s="373"/>
      <c r="H75" s="373"/>
      <c r="Z75" s="373"/>
      <c r="AA75" s="373"/>
      <c r="AB75" s="373"/>
    </row>
    <row r="76" spans="2:28" ht="15.95">
      <c r="B76" s="232" t="s">
        <v>128</v>
      </c>
      <c r="C76" s="238">
        <f>SUM(C73:C75)</f>
        <v>0</v>
      </c>
      <c r="D76" s="388" t="s">
        <v>180</v>
      </c>
      <c r="E76" s="373"/>
      <c r="G76" s="373"/>
      <c r="H76" s="373"/>
      <c r="Z76" s="373"/>
      <c r="AA76" s="373"/>
      <c r="AB76" s="373"/>
    </row>
    <row r="77" spans="2:28">
      <c r="B77" s="373"/>
      <c r="C77" s="373"/>
      <c r="D77" s="389"/>
      <c r="E77" s="373"/>
      <c r="F77" s="373"/>
      <c r="G77" s="373"/>
      <c r="H77" s="373"/>
      <c r="O77" s="373"/>
      <c r="Z77" s="373"/>
      <c r="AA77" s="373"/>
      <c r="AB77" s="373"/>
    </row>
    <row r="78" spans="2:28" ht="15.95">
      <c r="B78" s="383" t="s">
        <v>181</v>
      </c>
      <c r="C78" s="373"/>
      <c r="D78" s="389"/>
      <c r="E78" s="373"/>
      <c r="F78" s="373"/>
      <c r="G78" s="373"/>
      <c r="H78" s="373"/>
      <c r="Z78" s="373"/>
      <c r="AA78" s="373"/>
      <c r="AB78" s="373"/>
    </row>
    <row r="79" spans="2:28" ht="15.95">
      <c r="B79" s="230" t="s">
        <v>118</v>
      </c>
      <c r="C79" s="233">
        <f>_xlfn.XLOOKUP(Ferdigstillelsesår, År, Utslippsfaktorer_elektrisitet_snitt)*'ZERO-B Beregning'!G74*Beregningsperiode</f>
        <v>0</v>
      </c>
      <c r="D79" s="388" t="s">
        <v>180</v>
      </c>
      <c r="E79" s="373"/>
      <c r="F79" s="373"/>
      <c r="G79" s="373"/>
      <c r="H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3"/>
    </row>
    <row r="80" spans="2:28" ht="15.95">
      <c r="B80" s="230" t="s">
        <v>127</v>
      </c>
      <c r="C80" s="233">
        <f>-_xlfn.XLOOKUP(Ferdigstillelsesår, År, Utslippsfaktorer_elektrisitet_snitt)*'ZERO-B Beregning'!G75*Beregningsperiode</f>
        <v>0</v>
      </c>
      <c r="D80" s="388" t="s">
        <v>180</v>
      </c>
      <c r="E80" s="373"/>
      <c r="F80" s="373"/>
      <c r="G80" s="373"/>
      <c r="H80" s="373"/>
    </row>
    <row r="81" spans="2:11" ht="15.95">
      <c r="B81" s="230" t="s">
        <v>120</v>
      </c>
      <c r="C81" s="233">
        <f>SUMPRODUCT('ZERO-B Beregning'!D100:D106,'ZERO-B Beregning'!H100:H106)*'ZERO-B Beregning'!G76*Beregningsperiode</f>
        <v>0</v>
      </c>
      <c r="D81" s="388" t="s">
        <v>180</v>
      </c>
      <c r="E81" s="373"/>
      <c r="F81" s="373"/>
      <c r="G81" s="373"/>
      <c r="H81" s="373"/>
    </row>
    <row r="82" spans="2:11" ht="15.95">
      <c r="B82" s="234" t="s">
        <v>128</v>
      </c>
      <c r="C82" s="237">
        <f>SUM(C79:C81)</f>
        <v>0</v>
      </c>
      <c r="D82" s="388" t="s">
        <v>180</v>
      </c>
      <c r="E82" s="373"/>
      <c r="F82" s="373"/>
      <c r="G82" s="373"/>
      <c r="H82" s="373"/>
    </row>
    <row r="88" spans="2:11" ht="15.95">
      <c r="B88" s="383" t="s">
        <v>182</v>
      </c>
      <c r="C88" s="373"/>
      <c r="D88" s="373"/>
      <c r="E88" s="373"/>
      <c r="F88" s="373"/>
      <c r="G88" s="373"/>
      <c r="H88" s="373"/>
      <c r="I88" s="373"/>
      <c r="J88" s="373"/>
      <c r="K88" s="373"/>
    </row>
    <row r="89" spans="2:11">
      <c r="B89" s="384" t="s">
        <v>183</v>
      </c>
      <c r="C89" s="373"/>
      <c r="D89" s="373"/>
      <c r="E89" s="373"/>
      <c r="F89" s="373"/>
      <c r="G89" s="373"/>
      <c r="H89" s="373"/>
      <c r="I89" s="373"/>
      <c r="J89" s="373"/>
      <c r="K89" s="373"/>
    </row>
    <row r="90" spans="2:11" ht="15.95">
      <c r="B90" s="730"/>
      <c r="C90" s="730"/>
      <c r="D90" s="730"/>
      <c r="E90" s="730"/>
      <c r="F90" s="730" t="s">
        <v>184</v>
      </c>
      <c r="G90" s="730"/>
      <c r="H90" s="730" t="s">
        <v>185</v>
      </c>
      <c r="I90" s="730"/>
      <c r="J90" s="373"/>
      <c r="K90" s="373"/>
    </row>
    <row r="91" spans="2:11" ht="15.95">
      <c r="B91" s="723" t="s">
        <v>186</v>
      </c>
      <c r="C91" s="716" t="s">
        <v>187</v>
      </c>
      <c r="D91" s="744" t="s">
        <v>188</v>
      </c>
      <c r="E91" s="739"/>
      <c r="F91" s="488">
        <f>SUM('Resultater detaljert Bygg'!F7,'Resultater detaljert Bygg'!J7,'Resultater detaljert Bygg'!L7)/BRA_total</f>
        <v>18.125430000000001</v>
      </c>
      <c r="G91" s="536" t="s">
        <v>180</v>
      </c>
      <c r="H91" s="259">
        <f>F91*BRA_total</f>
        <v>36250.86</v>
      </c>
      <c r="I91" s="533" t="s">
        <v>189</v>
      </c>
      <c r="K91" s="373"/>
    </row>
    <row r="92" spans="2:11" ht="15.95">
      <c r="B92" s="712"/>
      <c r="C92" s="717"/>
      <c r="D92" s="742" t="s">
        <v>190</v>
      </c>
      <c r="E92" s="743"/>
      <c r="F92" s="488">
        <f>SUM('Resultater detaljert Bygg'!K7,'Resultater detaljert Bygg'!M7)/BRA_total</f>
        <v>0</v>
      </c>
      <c r="G92" s="536" t="s">
        <v>180</v>
      </c>
      <c r="H92" s="259">
        <f>F92*BRA_total</f>
        <v>0</v>
      </c>
      <c r="I92" s="533" t="s">
        <v>189</v>
      </c>
      <c r="K92" s="373"/>
    </row>
    <row r="93" spans="2:11" ht="15.95">
      <c r="B93" s="712"/>
      <c r="C93" s="718"/>
      <c r="D93" s="742" t="s">
        <v>191</v>
      </c>
      <c r="E93" s="743"/>
      <c r="F93" s="488">
        <f>SUM('Resultater detaljert Bygg'!G7:I7)/BRA_total</f>
        <v>0</v>
      </c>
      <c r="G93" s="537" t="s">
        <v>180</v>
      </c>
      <c r="H93" s="259">
        <f>F93*BRA_total</f>
        <v>0</v>
      </c>
      <c r="I93" s="534" t="s">
        <v>189</v>
      </c>
      <c r="K93" s="373"/>
    </row>
    <row r="94" spans="2:11" ht="15.95">
      <c r="B94" s="712"/>
      <c r="C94" s="719"/>
      <c r="D94" s="740" t="s">
        <v>192</v>
      </c>
      <c r="E94" s="741"/>
      <c r="F94" s="489">
        <f>SUM(F91:F93)</f>
        <v>18.125430000000001</v>
      </c>
      <c r="G94" s="538" t="s">
        <v>193</v>
      </c>
      <c r="H94" s="540">
        <f>SUM(H91:H93)</f>
        <v>36250.86</v>
      </c>
      <c r="I94" s="386" t="s">
        <v>189</v>
      </c>
      <c r="K94" s="373"/>
    </row>
    <row r="95" spans="2:11" ht="15.95">
      <c r="B95" s="712"/>
      <c r="C95" s="720" t="s">
        <v>194</v>
      </c>
      <c r="D95" s="744" t="s">
        <v>195</v>
      </c>
      <c r="E95" s="739"/>
      <c r="F95" s="488">
        <f>SUM('Resultater detaljert Bygg'!N7:P7)/BRA_total</f>
        <v>1.5935999999999999</v>
      </c>
      <c r="G95" s="535" t="s">
        <v>180</v>
      </c>
      <c r="H95" s="259">
        <f>F95*BRA_total</f>
        <v>3187.2</v>
      </c>
      <c r="I95" s="532" t="s">
        <v>189</v>
      </c>
      <c r="K95" s="373"/>
    </row>
    <row r="96" spans="2:11" ht="15.95">
      <c r="B96" s="712"/>
      <c r="C96" s="721"/>
      <c r="D96" s="744" t="s">
        <v>196</v>
      </c>
      <c r="E96" s="739"/>
      <c r="F96" s="488">
        <f>SUM('Resultater detaljert Bygg'!Q7:U7)/BRA_total</f>
        <v>1.0656315000000003</v>
      </c>
      <c r="G96" s="536" t="s">
        <v>180</v>
      </c>
      <c r="H96" s="259">
        <f>F96*BRA_total</f>
        <v>2131.2630000000004</v>
      </c>
      <c r="I96" s="533" t="s">
        <v>189</v>
      </c>
      <c r="K96" s="373"/>
    </row>
    <row r="97" spans="2:11" ht="15.95">
      <c r="B97" s="712"/>
      <c r="C97" s="721"/>
      <c r="D97" s="744" t="s">
        <v>197</v>
      </c>
      <c r="E97" s="739"/>
      <c r="F97" s="488">
        <f>SUM('ZERO-B Resultat'!$C$73:$C$75)</f>
        <v>0</v>
      </c>
      <c r="G97" s="537" t="s">
        <v>180</v>
      </c>
      <c r="H97" s="259">
        <f>F97*BRA_total</f>
        <v>0</v>
      </c>
      <c r="I97" s="534" t="s">
        <v>189</v>
      </c>
      <c r="K97" s="373"/>
    </row>
    <row r="98" spans="2:11" ht="15.95">
      <c r="B98" s="712"/>
      <c r="C98" s="722"/>
      <c r="D98" s="740" t="s">
        <v>192</v>
      </c>
      <c r="E98" s="741"/>
      <c r="F98" s="489">
        <f>SUM(F95:F97)</f>
        <v>2.6592315000000002</v>
      </c>
      <c r="G98" s="538" t="s">
        <v>193</v>
      </c>
      <c r="H98" s="540">
        <f>SUM(H95:H97)</f>
        <v>5318.4629999999997</v>
      </c>
      <c r="I98" s="386" t="s">
        <v>189</v>
      </c>
      <c r="K98" s="373"/>
    </row>
    <row r="99" spans="2:11" ht="15.95">
      <c r="B99" s="712" t="s">
        <v>198</v>
      </c>
      <c r="C99" s="714" t="s">
        <v>199</v>
      </c>
      <c r="D99" s="744" t="s">
        <v>200</v>
      </c>
      <c r="E99" s="739"/>
      <c r="F99" s="488">
        <f>SUM('Resultater detaljert Bygg'!X7:Y7)/BRA_total</f>
        <v>0</v>
      </c>
      <c r="G99" s="535" t="s">
        <v>180</v>
      </c>
      <c r="H99" s="259">
        <f>F99*BRA_total</f>
        <v>0</v>
      </c>
      <c r="I99" s="532" t="s">
        <v>189</v>
      </c>
      <c r="K99" s="373"/>
    </row>
    <row r="100" spans="2:11" ht="15.95">
      <c r="B100" s="712"/>
      <c r="C100" s="715"/>
      <c r="D100" s="744" t="s">
        <v>201</v>
      </c>
      <c r="E100" s="739"/>
      <c r="F100" s="488">
        <f>SUM('Resultater detaljert Bygg'!Z7:AA7)/BRA_total</f>
        <v>0</v>
      </c>
      <c r="G100" s="536" t="s">
        <v>180</v>
      </c>
      <c r="H100" s="259">
        <f>F100*BRA_total</f>
        <v>0</v>
      </c>
      <c r="I100" s="533" t="s">
        <v>189</v>
      </c>
      <c r="K100" s="373"/>
    </row>
    <row r="101" spans="2:11" ht="15.95">
      <c r="B101" s="712"/>
      <c r="C101" s="715"/>
      <c r="D101" s="744" t="s">
        <v>202</v>
      </c>
      <c r="E101" s="739"/>
      <c r="F101" s="488">
        <f>'Resultater detaljert Bygg'!AB7/BRA_total</f>
        <v>0</v>
      </c>
      <c r="G101" s="536" t="s">
        <v>180</v>
      </c>
      <c r="H101" s="259">
        <f>F101*BRA_total</f>
        <v>0</v>
      </c>
      <c r="I101" s="533" t="s">
        <v>189</v>
      </c>
      <c r="K101" s="373"/>
    </row>
    <row r="102" spans="2:11" ht="15.95">
      <c r="B102" s="712"/>
      <c r="C102" s="715"/>
      <c r="D102" s="744" t="s">
        <v>203</v>
      </c>
      <c r="E102" s="739"/>
      <c r="F102" s="492">
        <f>'Resultater detaljert Bygg'!V7/BRA_total</f>
        <v>0</v>
      </c>
      <c r="G102" s="536" t="s">
        <v>180</v>
      </c>
      <c r="H102" s="259">
        <f>F102*BRA_total</f>
        <v>0</v>
      </c>
      <c r="I102" s="533" t="s">
        <v>189</v>
      </c>
      <c r="K102" s="373"/>
    </row>
    <row r="103" spans="2:11" ht="15.95">
      <c r="B103" s="712"/>
      <c r="C103" s="715"/>
      <c r="D103" s="744" t="s">
        <v>204</v>
      </c>
      <c r="E103" s="739"/>
      <c r="F103" s="492">
        <f>'Resultater detaljert Bygg'!W7/BRA_total</f>
        <v>-1.6018457855239154</v>
      </c>
      <c r="G103" s="537" t="s">
        <v>180</v>
      </c>
      <c r="H103" s="259">
        <f>F103*BRA_total</f>
        <v>-3203.6915710478311</v>
      </c>
      <c r="I103" s="534" t="s">
        <v>189</v>
      </c>
      <c r="K103" s="373"/>
    </row>
    <row r="104" spans="2:11" ht="15.95">
      <c r="B104" s="713"/>
      <c r="C104" s="715"/>
      <c r="D104" s="740" t="s">
        <v>192</v>
      </c>
      <c r="E104" s="741"/>
      <c r="F104" s="489">
        <f>SUM(F99:F103)</f>
        <v>-1.6018457855239154</v>
      </c>
      <c r="G104" s="538" t="s">
        <v>193</v>
      </c>
      <c r="H104" s="540">
        <f>SUM(H99:H103)</f>
        <v>-3203.6915710478311</v>
      </c>
      <c r="I104" s="386" t="s">
        <v>189</v>
      </c>
      <c r="K104" s="373"/>
    </row>
    <row r="105" spans="2:11" ht="15.95">
      <c r="B105" s="733" t="s">
        <v>205</v>
      </c>
      <c r="C105" s="736" t="s">
        <v>206</v>
      </c>
      <c r="D105" s="732" t="s">
        <v>207</v>
      </c>
      <c r="E105" s="732"/>
      <c r="F105" s="487">
        <f>'Resultater detaljert Bygg'!AC7/BRA_total</f>
        <v>0.55125731047153037</v>
      </c>
      <c r="G105" s="535" t="s">
        <v>180</v>
      </c>
      <c r="H105" s="258">
        <f>F105*BRA_total</f>
        <v>1102.5146209430607</v>
      </c>
      <c r="I105" s="532" t="s">
        <v>189</v>
      </c>
      <c r="K105" s="373"/>
    </row>
    <row r="106" spans="2:11" ht="15.95">
      <c r="B106" s="734"/>
      <c r="C106" s="737"/>
      <c r="D106" s="739" t="s">
        <v>208</v>
      </c>
      <c r="E106" s="739"/>
      <c r="F106" s="488">
        <f>'Resultater detaljert Bygg'!AD7/'ZERO-B Beregning'!G25</f>
        <v>0</v>
      </c>
      <c r="G106" s="537" t="s">
        <v>180</v>
      </c>
      <c r="H106" s="259">
        <f>F106*BRA_total</f>
        <v>0</v>
      </c>
      <c r="I106" s="534" t="s">
        <v>189</v>
      </c>
      <c r="K106" s="373"/>
    </row>
    <row r="107" spans="2:11" ht="15.95">
      <c r="B107" s="735"/>
      <c r="C107" s="738"/>
      <c r="D107" s="740" t="s">
        <v>192</v>
      </c>
      <c r="E107" s="741"/>
      <c r="F107" s="489">
        <f>SUM(F105:F106)</f>
        <v>0.55125731047153037</v>
      </c>
      <c r="G107" s="538" t="s">
        <v>193</v>
      </c>
      <c r="H107" s="540">
        <f>SUM(H105:H106)</f>
        <v>1102.5146209430607</v>
      </c>
      <c r="I107" s="386" t="s">
        <v>189</v>
      </c>
      <c r="K107" s="373"/>
    </row>
    <row r="108" spans="2:11" ht="15.95">
      <c r="B108" s="733" t="s">
        <v>209</v>
      </c>
      <c r="C108" s="736" t="s">
        <v>210</v>
      </c>
      <c r="D108" s="732" t="s">
        <v>211</v>
      </c>
      <c r="E108" s="732"/>
      <c r="F108" s="487">
        <f>'Resultater detaljert Bygg'!AE7/BRA_total</f>
        <v>-2.1057547220207518</v>
      </c>
      <c r="G108" s="535" t="s">
        <v>180</v>
      </c>
      <c r="H108" s="258">
        <f>F108*BRA_total</f>
        <v>-4211.5094440415032</v>
      </c>
      <c r="I108" s="532" t="s">
        <v>189</v>
      </c>
      <c r="K108" s="373"/>
    </row>
    <row r="109" spans="2:11" ht="15.95">
      <c r="B109" s="734"/>
      <c r="C109" s="737"/>
      <c r="D109" s="739" t="s">
        <v>212</v>
      </c>
      <c r="E109" s="739"/>
      <c r="F109" s="488">
        <f>'Resultater detaljert Bygg'!AF7/BRA_total</f>
        <v>-0.26321934025259397</v>
      </c>
      <c r="G109" s="537" t="s">
        <v>180</v>
      </c>
      <c r="H109" s="259">
        <f>F109*BRA_total</f>
        <v>-526.4386805051879</v>
      </c>
      <c r="I109" s="534" t="s">
        <v>189</v>
      </c>
      <c r="K109" s="373"/>
    </row>
    <row r="110" spans="2:11" ht="15.95">
      <c r="B110" s="735"/>
      <c r="C110" s="738"/>
      <c r="D110" s="740" t="s">
        <v>192</v>
      </c>
      <c r="E110" s="741"/>
      <c r="F110" s="489">
        <f>SUM(F108:F109)</f>
        <v>-2.3689740622733457</v>
      </c>
      <c r="G110" s="537" t="s">
        <v>180</v>
      </c>
      <c r="H110" s="540">
        <f>SUM(H108:H109)</f>
        <v>-4737.9481245466914</v>
      </c>
      <c r="I110" s="386" t="s">
        <v>189</v>
      </c>
      <c r="K110" s="373"/>
    </row>
    <row r="111" spans="2:11" ht="15.95">
      <c r="B111" s="275"/>
      <c r="C111" s="276"/>
      <c r="D111" s="276"/>
      <c r="E111" s="277" t="s">
        <v>128</v>
      </c>
      <c r="F111" s="490">
        <f>F94+F98+F104+F107+F110</f>
        <v>17.365098962674271</v>
      </c>
      <c r="G111" s="539" t="s">
        <v>213</v>
      </c>
      <c r="H111" s="278">
        <f>H94+H98+H104+H107+H110</f>
        <v>34730.197925348548</v>
      </c>
      <c r="I111" s="541" t="s">
        <v>214</v>
      </c>
      <c r="K111" s="373"/>
    </row>
    <row r="112" spans="2:11" ht="15.95">
      <c r="B112" s="275"/>
      <c r="C112" s="276"/>
      <c r="D112" s="276"/>
      <c r="E112" s="279" t="s">
        <v>215</v>
      </c>
      <c r="F112" s="491">
        <f>F111+C82</f>
        <v>17.365098962674271</v>
      </c>
      <c r="G112" s="539" t="s">
        <v>213</v>
      </c>
      <c r="H112" s="280">
        <f>H111+C82*BRA_total</f>
        <v>34730.197925348548</v>
      </c>
      <c r="I112" s="542" t="s">
        <v>214</v>
      </c>
      <c r="K112" s="373"/>
    </row>
    <row r="113" spans="2:11">
      <c r="B113" s="373"/>
      <c r="C113" s="373"/>
      <c r="D113" s="373"/>
      <c r="E113" s="373"/>
      <c r="F113" s="373"/>
      <c r="G113" s="373"/>
      <c r="H113" s="373"/>
      <c r="I113" s="373"/>
      <c r="J113" s="373"/>
      <c r="K113" s="373"/>
    </row>
    <row r="114" spans="2:11">
      <c r="B114" s="8"/>
      <c r="C114" s="8"/>
      <c r="D114" s="8"/>
      <c r="E114" s="8"/>
      <c r="F114" s="8"/>
      <c r="H114" s="8"/>
      <c r="I114" s="8"/>
      <c r="J114" s="8"/>
      <c r="K114" s="8"/>
    </row>
    <row r="115" spans="2:11" ht="23.1">
      <c r="B115" s="12" t="s">
        <v>216</v>
      </c>
      <c r="C115" s="8"/>
      <c r="D115" s="8"/>
      <c r="E115" s="8"/>
      <c r="F115" s="8"/>
      <c r="G115" s="8"/>
      <c r="H115" s="8"/>
      <c r="I115" s="8"/>
      <c r="J115" s="8"/>
      <c r="K115" s="8"/>
    </row>
    <row r="116" spans="2:11">
      <c r="B116" s="17" t="s">
        <v>217</v>
      </c>
      <c r="C116" s="17"/>
      <c r="D116" s="17"/>
      <c r="E116" s="17"/>
      <c r="F116" s="17"/>
      <c r="G116" s="8"/>
      <c r="H116" s="8"/>
      <c r="I116" s="8"/>
      <c r="J116" s="8"/>
      <c r="K116" s="8"/>
    </row>
    <row r="117" spans="2:11" ht="15.95">
      <c r="B117" s="239" t="s">
        <v>218</v>
      </c>
      <c r="C117" s="235">
        <f>'Resultater detaljert Bygg'!AK7/'ZERO-B Beregning'!G25</f>
        <v>18.125430000000001</v>
      </c>
      <c r="D117" s="385" t="s">
        <v>180</v>
      </c>
      <c r="E117" s="8"/>
      <c r="F117" s="8"/>
      <c r="G117" s="8"/>
      <c r="H117" s="8"/>
      <c r="I117" s="8"/>
      <c r="J117" s="8"/>
      <c r="K117" s="8"/>
    </row>
    <row r="118" spans="2:11" ht="15.95">
      <c r="B118" s="240" t="s">
        <v>219</v>
      </c>
      <c r="C118" s="236">
        <f>'Resultater detaljert Bygg'!AL7/'ZERO-B Beregning'!G25</f>
        <v>1.5935999999999999</v>
      </c>
      <c r="D118" s="386" t="s">
        <v>180</v>
      </c>
      <c r="E118" s="8"/>
      <c r="F118" s="8"/>
      <c r="G118" s="8"/>
      <c r="H118" s="8"/>
      <c r="I118" s="8"/>
      <c r="J118" s="8"/>
      <c r="K118" s="8"/>
    </row>
    <row r="119" spans="2:11" ht="15.95">
      <c r="B119" s="241" t="s">
        <v>220</v>
      </c>
      <c r="C119" s="236">
        <f>SUM('Resultater detaljert Bygg'!X7,'Resultater detaljert Bygg'!Z7:AB7)/BRA_total</f>
        <v>0</v>
      </c>
      <c r="D119" s="386" t="s">
        <v>180</v>
      </c>
      <c r="E119" s="8"/>
      <c r="F119" s="8"/>
      <c r="G119" s="8"/>
      <c r="H119" s="8"/>
      <c r="I119" s="8"/>
      <c r="J119" s="8"/>
      <c r="K119" s="8"/>
    </row>
    <row r="120" spans="2:11" ht="15.95">
      <c r="B120" s="242" t="s">
        <v>221</v>
      </c>
      <c r="C120" s="243" cm="1">
        <f t="array" ref="C120">'ZERO-B Beregning'!G74*_xlfn.XLOOKUP(2020, År, Utslippsfaktorer_elektrisitet_snitt)*Beregningsperiode+'ZERO-B Beregning'!G76*SUMPRODUCT('ZERO-B Beregning'!D101:D106*'ZERO-B Beregning'!H101:H106)</f>
        <v>0</v>
      </c>
      <c r="D120" s="386" t="s">
        <v>180</v>
      </c>
      <c r="E120" s="144"/>
      <c r="F120" s="8"/>
      <c r="G120" s="8"/>
      <c r="H120" s="8"/>
      <c r="I120" s="8"/>
      <c r="J120" s="8"/>
      <c r="K120" s="8"/>
    </row>
    <row r="121" spans="2:11" ht="15.95">
      <c r="B121" s="277" t="s">
        <v>128</v>
      </c>
      <c r="C121" s="281">
        <f>SUM(C117:C120)</f>
        <v>19.71903</v>
      </c>
      <c r="D121" s="387" t="s">
        <v>193</v>
      </c>
      <c r="E121" s="144"/>
      <c r="F121" s="8"/>
      <c r="G121" s="8"/>
      <c r="H121" s="8"/>
      <c r="I121" s="8"/>
      <c r="J121" s="8"/>
      <c r="K121" s="8"/>
    </row>
    <row r="122" spans="2:11">
      <c r="B122" s="266" t="s">
        <v>222</v>
      </c>
      <c r="C122" s="8"/>
      <c r="D122" s="59"/>
      <c r="E122" s="8"/>
      <c r="F122" s="8"/>
      <c r="G122" s="8"/>
      <c r="H122" s="8"/>
      <c r="I122" s="8"/>
      <c r="J122" s="8"/>
      <c r="K122" s="8"/>
    </row>
    <row r="123" spans="2:11">
      <c r="B123" s="267" t="s">
        <v>223</v>
      </c>
      <c r="C123" s="163"/>
      <c r="D123" s="164"/>
      <c r="E123" s="8"/>
      <c r="F123" s="8"/>
      <c r="G123" s="8"/>
      <c r="H123" s="8"/>
      <c r="I123" s="8"/>
      <c r="J123" s="8"/>
      <c r="K123" s="8"/>
    </row>
    <row r="124" spans="2:11"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6" spans="2:11" ht="23.1">
      <c r="B126" s="12" t="s">
        <v>224</v>
      </c>
      <c r="C126" s="391"/>
      <c r="D126" s="391"/>
      <c r="E126" s="391"/>
      <c r="F126" s="391"/>
      <c r="G126" s="391"/>
      <c r="H126" s="391"/>
    </row>
    <row r="127" spans="2:11">
      <c r="B127" s="392" t="s">
        <v>225</v>
      </c>
      <c r="C127" s="8"/>
      <c r="D127" s="8"/>
      <c r="E127" s="8"/>
      <c r="F127" s="8"/>
      <c r="G127" s="8"/>
      <c r="H127" s="8"/>
    </row>
    <row r="128" spans="2:11">
      <c r="B128" s="8" t="s">
        <v>226</v>
      </c>
      <c r="C128" s="8"/>
      <c r="D128" s="8"/>
      <c r="E128" s="8"/>
      <c r="F128" s="8"/>
      <c r="G128" s="8"/>
      <c r="H128" s="8"/>
    </row>
    <row r="129" spans="2:12">
      <c r="B129" s="543"/>
      <c r="C129" s="543"/>
      <c r="D129" s="707" t="s">
        <v>227</v>
      </c>
      <c r="E129" s="707"/>
      <c r="F129" s="707"/>
      <c r="G129" s="710"/>
      <c r="H129" s="710"/>
      <c r="I129" s="710"/>
      <c r="J129" s="710"/>
      <c r="K129" s="710"/>
      <c r="L129" s="710"/>
    </row>
    <row r="130" spans="2:12">
      <c r="B130" s="543"/>
      <c r="C130" s="544" t="s">
        <v>228</v>
      </c>
      <c r="D130" s="545" t="s">
        <v>229</v>
      </c>
      <c r="E130" s="545" t="s">
        <v>230</v>
      </c>
      <c r="F130" s="545" t="s">
        <v>206</v>
      </c>
      <c r="G130" s="546" t="s">
        <v>231</v>
      </c>
      <c r="H130" s="547"/>
      <c r="I130" s="547"/>
      <c r="J130" s="731" t="s">
        <v>232</v>
      </c>
      <c r="K130" s="731"/>
      <c r="L130" s="731"/>
    </row>
    <row r="131" spans="2:12" ht="31.5" customHeight="1">
      <c r="B131" s="708" t="s">
        <v>169</v>
      </c>
      <c r="C131" s="19" t="s">
        <v>233</v>
      </c>
      <c r="D131" s="548">
        <v>1</v>
      </c>
      <c r="E131" s="548">
        <v>0.56999999999999995</v>
      </c>
      <c r="F131" s="548" t="s">
        <v>234</v>
      </c>
      <c r="G131" s="709" t="s">
        <v>235</v>
      </c>
      <c r="H131" s="709"/>
      <c r="I131" s="709"/>
      <c r="J131" s="711" t="s">
        <v>236</v>
      </c>
      <c r="K131" s="711"/>
      <c r="L131" s="711"/>
    </row>
    <row r="132" spans="2:12">
      <c r="B132" s="708"/>
      <c r="C132" s="19" t="s">
        <v>237</v>
      </c>
      <c r="D132" s="548">
        <v>1</v>
      </c>
      <c r="E132" s="548">
        <v>0.25</v>
      </c>
      <c r="F132" s="548" t="s">
        <v>234</v>
      </c>
      <c r="G132" s="709" t="s">
        <v>235</v>
      </c>
      <c r="H132" s="709"/>
      <c r="I132" s="709"/>
      <c r="J132" s="711"/>
      <c r="K132" s="711"/>
      <c r="L132" s="711"/>
    </row>
    <row r="133" spans="2:12">
      <c r="B133" s="708"/>
      <c r="C133" s="19" t="s">
        <v>238</v>
      </c>
      <c r="D133" s="548" t="s">
        <v>234</v>
      </c>
      <c r="E133" s="548">
        <v>-0.06</v>
      </c>
      <c r="F133" s="548" t="s">
        <v>234</v>
      </c>
      <c r="G133" s="709" t="s">
        <v>239</v>
      </c>
      <c r="H133" s="709"/>
      <c r="I133" s="709"/>
      <c r="J133" s="705"/>
      <c r="K133" s="705"/>
      <c r="L133" s="705"/>
    </row>
    <row r="134" spans="2:12">
      <c r="B134" s="708"/>
      <c r="C134" s="19" t="s">
        <v>240</v>
      </c>
      <c r="D134" s="548">
        <v>-1.27</v>
      </c>
      <c r="E134" s="549">
        <f>-0.59*0.65*1.84</f>
        <v>-0.70564000000000004</v>
      </c>
      <c r="F134" s="548" t="s">
        <v>234</v>
      </c>
      <c r="G134" s="709" t="s">
        <v>241</v>
      </c>
      <c r="H134" s="709"/>
      <c r="I134" s="709"/>
      <c r="J134" s="705" t="s">
        <v>242</v>
      </c>
      <c r="K134" s="705"/>
      <c r="L134" s="705"/>
    </row>
    <row r="135" spans="2:12">
      <c r="B135" s="708"/>
      <c r="C135" s="19" t="s">
        <v>243</v>
      </c>
      <c r="D135" s="549">
        <f>3.67*0.5*0.5</f>
        <v>0.91749999999999998</v>
      </c>
      <c r="E135" s="549">
        <f>3.67*0.5*0.5*0.75*0.76</f>
        <v>0.52297499999999997</v>
      </c>
      <c r="F135" s="549">
        <f>3.67*0.5*0.5*0.55*0.48</f>
        <v>0.24221999999999999</v>
      </c>
      <c r="G135" s="709" t="s">
        <v>244</v>
      </c>
      <c r="H135" s="709"/>
      <c r="I135" s="709"/>
      <c r="J135" s="705" t="s">
        <v>245</v>
      </c>
      <c r="K135" s="705"/>
      <c r="L135" s="705"/>
    </row>
    <row r="136" spans="2:12">
      <c r="B136" s="708"/>
      <c r="C136" s="19" t="s">
        <v>246</v>
      </c>
      <c r="D136" s="549">
        <f>3.67*0.8*0.5</f>
        <v>1.468</v>
      </c>
      <c r="E136" s="549">
        <f>3.67*0.8*0.5*0.75*0.76</f>
        <v>0.83675999999999995</v>
      </c>
      <c r="F136" s="549">
        <f>3.67*0.8*0.5*0.55*0.48</f>
        <v>0.38755200000000001</v>
      </c>
      <c r="G136" s="709" t="s">
        <v>247</v>
      </c>
      <c r="H136" s="709"/>
      <c r="I136" s="709"/>
      <c r="J136" s="705" t="s">
        <v>245</v>
      </c>
      <c r="K136" s="705"/>
      <c r="L136" s="705"/>
    </row>
    <row r="137" spans="2:12">
      <c r="B137" s="708"/>
      <c r="C137" s="19" t="s">
        <v>248</v>
      </c>
      <c r="D137" s="548">
        <v>0.2</v>
      </c>
      <c r="E137" s="548" t="s">
        <v>234</v>
      </c>
      <c r="F137" s="548" t="s">
        <v>234</v>
      </c>
      <c r="G137" s="709" t="s">
        <v>249</v>
      </c>
      <c r="H137" s="709"/>
      <c r="I137" s="709"/>
      <c r="J137" s="705" t="s">
        <v>250</v>
      </c>
      <c r="K137" s="705"/>
      <c r="L137" s="705"/>
    </row>
    <row r="138" spans="2:12">
      <c r="B138" s="708"/>
      <c r="C138" s="19" t="s">
        <v>251</v>
      </c>
      <c r="D138" s="548" t="s">
        <v>234</v>
      </c>
      <c r="E138" s="548">
        <v>0.1</v>
      </c>
      <c r="F138" s="548">
        <v>0.1</v>
      </c>
      <c r="G138" s="709" t="s">
        <v>249</v>
      </c>
      <c r="H138" s="709"/>
      <c r="I138" s="709"/>
      <c r="J138" s="705" t="s">
        <v>252</v>
      </c>
      <c r="K138" s="705"/>
      <c r="L138" s="705"/>
    </row>
    <row r="139" spans="2:12">
      <c r="B139" s="710"/>
      <c r="C139" s="710"/>
      <c r="D139" s="710"/>
      <c r="E139" s="710"/>
      <c r="F139" s="710"/>
      <c r="G139" s="710"/>
      <c r="H139" s="710"/>
      <c r="I139" s="710"/>
      <c r="J139" s="710"/>
      <c r="K139" s="710"/>
      <c r="L139" s="710"/>
    </row>
    <row r="140" spans="2:12">
      <c r="B140" s="708" t="s">
        <v>253</v>
      </c>
      <c r="C140" s="19" t="s">
        <v>254</v>
      </c>
      <c r="D140" s="548" t="s">
        <v>255</v>
      </c>
      <c r="E140" s="548" t="s">
        <v>255</v>
      </c>
      <c r="F140" s="548" t="s">
        <v>234</v>
      </c>
      <c r="G140" s="550" t="s">
        <v>256</v>
      </c>
      <c r="H140" s="547"/>
      <c r="I140" s="547"/>
      <c r="J140" s="705" t="s">
        <v>257</v>
      </c>
      <c r="K140" s="705"/>
      <c r="L140" s="705"/>
    </row>
    <row r="141" spans="2:12">
      <c r="B141" s="708"/>
      <c r="C141" s="19" t="s">
        <v>258</v>
      </c>
      <c r="D141" s="548" t="s">
        <v>255</v>
      </c>
      <c r="E141" s="548" t="s">
        <v>255</v>
      </c>
      <c r="F141" s="548" t="s">
        <v>234</v>
      </c>
      <c r="G141" s="550" t="s">
        <v>256</v>
      </c>
      <c r="H141" s="547"/>
      <c r="I141" s="547"/>
      <c r="J141" s="705" t="s">
        <v>257</v>
      </c>
      <c r="K141" s="705"/>
      <c r="L141" s="705"/>
    </row>
    <row r="142" spans="2:12">
      <c r="B142" s="706" t="s">
        <v>259</v>
      </c>
      <c r="C142" s="706"/>
      <c r="D142" s="706"/>
      <c r="E142" s="706"/>
      <c r="F142" s="706"/>
      <c r="G142" s="706"/>
      <c r="H142" s="706"/>
    </row>
    <row r="143" spans="2:12">
      <c r="B143" s="706"/>
      <c r="C143" s="706"/>
      <c r="D143" s="706"/>
      <c r="E143" s="706"/>
      <c r="F143" s="706"/>
      <c r="G143" s="706"/>
      <c r="H143" s="706"/>
    </row>
  </sheetData>
  <sheetProtection algorithmName="SHA-512" hashValue="5k/6jMRsI8BqPMgJ6zgnPyfjTO/eTBAnd2CF0Wy894MRksQ8Uwxtd/94+fl47CDqeeSqDllnLdFzDYC6ErDF8w==" saltValue="7xZBjMF1UxNIBV06ThitEw==" spinCount="100000" sheet="1" scenarios="1"/>
  <mergeCells count="63">
    <mergeCell ref="J132:L132"/>
    <mergeCell ref="J133:L133"/>
    <mergeCell ref="D92:E92"/>
    <mergeCell ref="D91:E91"/>
    <mergeCell ref="D106:E106"/>
    <mergeCell ref="D104:E104"/>
    <mergeCell ref="D103:E103"/>
    <mergeCell ref="D102:E102"/>
    <mergeCell ref="D101:E101"/>
    <mergeCell ref="D95:E95"/>
    <mergeCell ref="D100:E100"/>
    <mergeCell ref="D99:E99"/>
    <mergeCell ref="D98:E98"/>
    <mergeCell ref="D97:E97"/>
    <mergeCell ref="D96:E96"/>
    <mergeCell ref="F90:G90"/>
    <mergeCell ref="H90:I90"/>
    <mergeCell ref="B90:E90"/>
    <mergeCell ref="G129:L129"/>
    <mergeCell ref="J130:L130"/>
    <mergeCell ref="D105:E105"/>
    <mergeCell ref="B108:B110"/>
    <mergeCell ref="C108:C110"/>
    <mergeCell ref="D108:E108"/>
    <mergeCell ref="D109:E109"/>
    <mergeCell ref="D110:E110"/>
    <mergeCell ref="C105:C107"/>
    <mergeCell ref="B105:B107"/>
    <mergeCell ref="D107:E107"/>
    <mergeCell ref="D94:E94"/>
    <mergeCell ref="D93:E93"/>
    <mergeCell ref="J39:J40"/>
    <mergeCell ref="K39:M39"/>
    <mergeCell ref="C7:E7"/>
    <mergeCell ref="B7:B8"/>
    <mergeCell ref="B39:B40"/>
    <mergeCell ref="C39:E39"/>
    <mergeCell ref="B99:B104"/>
    <mergeCell ref="C99:C104"/>
    <mergeCell ref="C91:C94"/>
    <mergeCell ref="C95:C98"/>
    <mergeCell ref="B91:B98"/>
    <mergeCell ref="B142:H143"/>
    <mergeCell ref="D129:F129"/>
    <mergeCell ref="B131:B138"/>
    <mergeCell ref="G138:I138"/>
    <mergeCell ref="G137:I137"/>
    <mergeCell ref="G136:I136"/>
    <mergeCell ref="G135:I135"/>
    <mergeCell ref="G134:I134"/>
    <mergeCell ref="G133:I133"/>
    <mergeCell ref="G132:I132"/>
    <mergeCell ref="G131:I131"/>
    <mergeCell ref="B140:B141"/>
    <mergeCell ref="B139:L139"/>
    <mergeCell ref="J140:L140"/>
    <mergeCell ref="J141:L141"/>
    <mergeCell ref="J131:L131"/>
    <mergeCell ref="J134:L134"/>
    <mergeCell ref="J135:L135"/>
    <mergeCell ref="J136:L136"/>
    <mergeCell ref="J137:L137"/>
    <mergeCell ref="J138:L138"/>
  </mergeCells>
  <phoneticPr fontId="32" type="noConversion"/>
  <conditionalFormatting sqref="G9:G10 E9:E11 E41">
    <cfRule type="containsText" dxfId="95" priority="2" operator="containsText" text="Ja">
      <formula>NOT(ISERROR(SEARCH("Ja",E9)))</formula>
    </cfRule>
  </conditionalFormatting>
  <conditionalFormatting sqref="M41">
    <cfRule type="containsText" dxfId="94" priority="1" operator="containsText" text="Ja">
      <formula>NOT(ISERROR(SEARCH("Ja",M41)))</formula>
    </cfRule>
  </conditionalFormatting>
  <pageMargins left="0.7" right="0.7" top="0.75" bottom="0.75" header="0.3" footer="0.3"/>
  <headerFooter>
    <oddFooter>&amp;C_x000D_&amp;1#&amp;"Verdana"&amp;7&amp;K000000 Confidential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3" tint="0.59999389629810485"/>
  </sheetPr>
  <dimension ref="B2:AF161"/>
  <sheetViews>
    <sheetView zoomScaleNormal="100" workbookViewId="0">
      <selection activeCell="C18" sqref="C18"/>
    </sheetView>
  </sheetViews>
  <sheetFormatPr defaultColWidth="9.125" defaultRowHeight="15"/>
  <cols>
    <col min="1" max="1" width="9.125" style="86"/>
    <col min="2" max="2" width="12.375" style="86" bestFit="1" customWidth="1"/>
    <col min="3" max="3" width="22.625" style="87" bestFit="1" customWidth="1"/>
    <col min="4" max="4" width="49.875" style="87" bestFit="1" customWidth="1"/>
    <col min="5" max="5" width="26.5" style="86" bestFit="1" customWidth="1"/>
    <col min="6" max="6" width="23.375" style="86" bestFit="1" customWidth="1"/>
    <col min="7" max="8" width="17.375" style="86" customWidth="1"/>
    <col min="9" max="10" width="17.375" style="1" customWidth="1"/>
    <col min="11" max="11" width="19.5" style="88" customWidth="1"/>
    <col min="12" max="12" width="21.875" style="88" bestFit="1" customWidth="1"/>
    <col min="13" max="13" width="15" style="88" bestFit="1" customWidth="1"/>
    <col min="14" max="14" width="14.625" style="86" customWidth="1"/>
    <col min="15" max="15" width="17.875" style="212" bestFit="1" customWidth="1"/>
    <col min="16" max="16" width="20.5" style="212" customWidth="1"/>
    <col min="17" max="18" width="17.125" style="212" customWidth="1"/>
    <col min="19" max="19" width="25" style="212" bestFit="1" customWidth="1"/>
    <col min="20" max="20" width="20.625" style="212" customWidth="1"/>
    <col min="21" max="21" width="16.875" style="212" customWidth="1"/>
    <col min="22" max="23" width="17.875" style="212" customWidth="1"/>
    <col min="24" max="24" width="12.125" style="86" bestFit="1" customWidth="1"/>
    <col min="25" max="25" width="9.125" style="86" bestFit="1" customWidth="1"/>
    <col min="26" max="26" width="8.625" style="86" bestFit="1" customWidth="1"/>
    <col min="27" max="27" width="20.125" style="86" bestFit="1" customWidth="1"/>
    <col min="28" max="32" width="13.125" style="86" customWidth="1"/>
    <col min="33" max="16384" width="9.125" style="86"/>
  </cols>
  <sheetData>
    <row r="2" spans="2:32" ht="36.950000000000003">
      <c r="B2" s="103" t="s">
        <v>260</v>
      </c>
    </row>
    <row r="3" spans="2:32">
      <c r="B3" s="303" t="s">
        <v>261</v>
      </c>
      <c r="C3" s="304"/>
      <c r="D3" s="304"/>
      <c r="E3" s="303"/>
      <c r="F3" s="303"/>
      <c r="G3" s="303"/>
      <c r="H3" s="303"/>
      <c r="I3" s="8"/>
      <c r="J3" s="8"/>
      <c r="K3" s="305"/>
      <c r="L3" s="305"/>
      <c r="M3" s="305"/>
      <c r="N3" s="303"/>
      <c r="O3" s="306"/>
      <c r="P3" s="306"/>
      <c r="Q3" s="306"/>
      <c r="R3" s="306"/>
      <c r="S3" s="306"/>
      <c r="T3" s="306"/>
      <c r="U3" s="306"/>
      <c r="V3" s="306"/>
      <c r="W3" s="306"/>
      <c r="X3" s="303"/>
      <c r="Y3" s="303"/>
      <c r="Z3" s="303"/>
      <c r="AA3" s="303"/>
      <c r="AB3" s="303"/>
      <c r="AC3" s="303"/>
    </row>
    <row r="4" spans="2:32">
      <c r="B4" s="303" t="s">
        <v>262</v>
      </c>
      <c r="C4" s="304"/>
      <c r="D4" s="304"/>
      <c r="E4" s="303"/>
      <c r="F4" s="303"/>
      <c r="G4" s="303"/>
      <c r="H4" s="303"/>
      <c r="I4" s="8"/>
      <c r="J4" s="8"/>
      <c r="K4" s="305"/>
      <c r="L4" s="305"/>
      <c r="M4" s="305"/>
      <c r="N4" s="303"/>
      <c r="O4" s="306"/>
      <c r="P4" s="306"/>
      <c r="Q4" s="306"/>
      <c r="R4" s="306"/>
      <c r="S4" s="306"/>
      <c r="T4" s="306"/>
      <c r="U4" s="306"/>
      <c r="V4" s="306"/>
      <c r="W4" s="306"/>
      <c r="X4" s="303"/>
      <c r="Y4" s="303"/>
      <c r="Z4" s="303"/>
      <c r="AA4" s="303"/>
      <c r="AB4" s="303"/>
      <c r="AC4" s="303"/>
    </row>
    <row r="5" spans="2:32">
      <c r="B5" s="303" t="s">
        <v>263</v>
      </c>
      <c r="C5" s="304"/>
      <c r="D5" s="304"/>
      <c r="E5" s="303"/>
      <c r="F5" s="303"/>
      <c r="G5" s="303"/>
      <c r="H5" s="303"/>
      <c r="I5" s="8"/>
      <c r="J5" s="8"/>
      <c r="K5" s="305"/>
      <c r="L5" s="305"/>
      <c r="M5" s="305"/>
      <c r="N5" s="303"/>
      <c r="O5" s="306"/>
      <c r="P5" s="306"/>
      <c r="Q5" s="306"/>
      <c r="R5" s="306"/>
      <c r="S5" s="306"/>
      <c r="T5" s="306"/>
      <c r="U5" s="306"/>
      <c r="V5" s="306"/>
      <c r="W5" s="306"/>
      <c r="X5" s="303"/>
      <c r="Y5" s="303"/>
      <c r="Z5" s="303"/>
      <c r="AA5" s="303"/>
      <c r="AB5" s="303"/>
      <c r="AC5" s="303"/>
    </row>
    <row r="6" spans="2:32">
      <c r="B6" s="303" t="s">
        <v>264</v>
      </c>
      <c r="C6" s="304"/>
      <c r="D6" s="304"/>
      <c r="E6" s="303"/>
      <c r="F6" s="303"/>
      <c r="G6" s="303"/>
      <c r="H6" s="303"/>
      <c r="I6" s="8"/>
      <c r="J6" s="8"/>
      <c r="K6" s="305"/>
      <c r="L6" s="305"/>
      <c r="M6" s="305"/>
      <c r="N6" s="303"/>
      <c r="O6" s="306"/>
      <c r="P6" s="306"/>
      <c r="Q6" s="306"/>
      <c r="R6" s="306"/>
      <c r="S6" s="306"/>
      <c r="T6" s="306"/>
      <c r="U6" s="306"/>
      <c r="V6" s="306"/>
      <c r="W6" s="306"/>
      <c r="X6" s="303"/>
      <c r="Y6" s="303"/>
      <c r="Z6" s="303"/>
      <c r="AA6" s="303"/>
      <c r="AB6" s="303"/>
      <c r="AC6" s="303"/>
    </row>
    <row r="7" spans="2:32" ht="15.95" customHeight="1">
      <c r="B7" s="307" t="s">
        <v>265</v>
      </c>
      <c r="C7" s="303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</row>
    <row r="8" spans="2:32" ht="15.95" customHeight="1">
      <c r="B8" s="307" t="s">
        <v>266</v>
      </c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</row>
    <row r="9" spans="2:32">
      <c r="B9" s="558"/>
    </row>
    <row r="10" spans="2:32" s="1" customFormat="1" ht="18.95" customHeight="1">
      <c r="B10" s="745"/>
      <c r="C10" s="746"/>
      <c r="D10" s="747"/>
      <c r="E10" s="751"/>
      <c r="F10" s="751"/>
      <c r="G10" s="751"/>
      <c r="H10" s="751"/>
      <c r="I10" s="751"/>
      <c r="J10" s="751"/>
      <c r="K10" s="751"/>
      <c r="L10" s="751"/>
      <c r="M10" s="751"/>
      <c r="N10" s="751"/>
      <c r="O10" s="751"/>
      <c r="P10" s="751"/>
      <c r="Q10" s="751"/>
      <c r="R10" s="751"/>
      <c r="S10" s="751"/>
      <c r="T10" s="751"/>
      <c r="U10" s="751"/>
      <c r="V10" s="751"/>
      <c r="W10" s="751"/>
      <c r="X10" s="751"/>
      <c r="Y10" s="751"/>
      <c r="Z10" s="751"/>
      <c r="AA10" s="751"/>
      <c r="AB10" s="751"/>
      <c r="AC10" s="751"/>
      <c r="AD10" s="751"/>
      <c r="AE10" s="751"/>
      <c r="AF10" s="752"/>
    </row>
    <row r="11" spans="2:32" s="85" customFormat="1" ht="24.95">
      <c r="B11" s="748" t="s">
        <v>267</v>
      </c>
      <c r="C11" s="749"/>
      <c r="D11" s="750"/>
      <c r="E11" s="749" t="s">
        <v>268</v>
      </c>
      <c r="F11" s="750"/>
      <c r="G11" s="748" t="s">
        <v>269</v>
      </c>
      <c r="H11" s="749"/>
      <c r="I11" s="749"/>
      <c r="J11" s="749"/>
      <c r="K11" s="750"/>
      <c r="L11" s="759" t="s">
        <v>270</v>
      </c>
      <c r="M11" s="760"/>
      <c r="N11" s="761"/>
      <c r="O11" s="753" t="s">
        <v>271</v>
      </c>
      <c r="P11" s="754"/>
      <c r="Q11" s="754"/>
      <c r="R11" s="754"/>
      <c r="S11" s="754"/>
      <c r="T11" s="754"/>
      <c r="U11" s="754"/>
      <c r="V11" s="755"/>
      <c r="W11" s="282"/>
      <c r="X11" s="756" t="s">
        <v>272</v>
      </c>
      <c r="Y11" s="754"/>
      <c r="Z11" s="754"/>
      <c r="AA11" s="755"/>
      <c r="AB11" s="749" t="s">
        <v>273</v>
      </c>
      <c r="AC11" s="749"/>
      <c r="AD11" s="749"/>
      <c r="AE11" s="749"/>
      <c r="AF11" s="750"/>
    </row>
    <row r="12" spans="2:32" s="268" customFormat="1" ht="17.100000000000001">
      <c r="B12" s="283" t="s">
        <v>274</v>
      </c>
      <c r="C12" s="284" t="s">
        <v>274</v>
      </c>
      <c r="D12" s="285" t="s">
        <v>274</v>
      </c>
      <c r="E12" s="286" t="s">
        <v>274</v>
      </c>
      <c r="F12" s="287" t="s">
        <v>274</v>
      </c>
      <c r="G12" s="283" t="s">
        <v>274</v>
      </c>
      <c r="H12" s="286" t="s">
        <v>274</v>
      </c>
      <c r="I12" s="286" t="s">
        <v>275</v>
      </c>
      <c r="J12" s="286" t="s">
        <v>275</v>
      </c>
      <c r="K12" s="287" t="s">
        <v>274</v>
      </c>
      <c r="L12" s="283" t="s">
        <v>276</v>
      </c>
      <c r="M12" s="286" t="s">
        <v>276</v>
      </c>
      <c r="N12" s="287" t="s">
        <v>276</v>
      </c>
      <c r="O12" s="283" t="s">
        <v>274</v>
      </c>
      <c r="P12" s="286" t="s">
        <v>274</v>
      </c>
      <c r="Q12" s="286" t="s">
        <v>277</v>
      </c>
      <c r="R12" s="286" t="s">
        <v>274</v>
      </c>
      <c r="S12" s="286" t="s">
        <v>274</v>
      </c>
      <c r="T12" s="286" t="s">
        <v>274</v>
      </c>
      <c r="U12" s="286" t="s">
        <v>277</v>
      </c>
      <c r="V12" s="287" t="s">
        <v>274</v>
      </c>
      <c r="W12" s="288" t="s">
        <v>278</v>
      </c>
      <c r="X12" s="762" t="s">
        <v>279</v>
      </c>
      <c r="Y12" s="762"/>
      <c r="Z12" s="762"/>
      <c r="AA12" s="763"/>
      <c r="AB12" s="757" t="s">
        <v>280</v>
      </c>
      <c r="AC12" s="757"/>
      <c r="AD12" s="757"/>
      <c r="AE12" s="757"/>
      <c r="AF12" s="758"/>
    </row>
    <row r="13" spans="2:32" s="696" customFormat="1" ht="54" customHeight="1">
      <c r="B13" s="689"/>
      <c r="C13" s="690"/>
      <c r="D13" s="691"/>
      <c r="E13" s="688" t="s">
        <v>281</v>
      </c>
      <c r="F13" s="688" t="s">
        <v>282</v>
      </c>
      <c r="G13" s="688" t="s">
        <v>283</v>
      </c>
      <c r="H13" s="687"/>
      <c r="I13" s="688" t="s">
        <v>284</v>
      </c>
      <c r="J13" s="687"/>
      <c r="K13" s="688" t="s">
        <v>285</v>
      </c>
      <c r="L13" s="689"/>
      <c r="M13" s="687"/>
      <c r="N13" s="688" t="s">
        <v>286</v>
      </c>
      <c r="O13" s="689"/>
      <c r="P13" s="687"/>
      <c r="Q13" s="687"/>
      <c r="R13" s="687"/>
      <c r="S13" s="687"/>
      <c r="T13" s="687"/>
      <c r="U13" s="687"/>
      <c r="V13" s="692"/>
      <c r="W13" s="693"/>
      <c r="X13" s="694"/>
      <c r="Y13" s="694"/>
      <c r="Z13" s="694"/>
      <c r="AA13" s="694"/>
      <c r="AB13" s="693"/>
      <c r="AC13" s="693"/>
      <c r="AD13" s="693"/>
      <c r="AE13" s="693"/>
      <c r="AF13" s="695"/>
    </row>
    <row r="14" spans="2:32" s="211" customFormat="1" ht="32.1">
      <c r="B14" s="111" t="s">
        <v>287</v>
      </c>
      <c r="C14" s="289" t="s">
        <v>288</v>
      </c>
      <c r="D14" s="290" t="s">
        <v>289</v>
      </c>
      <c r="E14" s="113" t="s">
        <v>290</v>
      </c>
      <c r="F14" s="112" t="s">
        <v>291</v>
      </c>
      <c r="G14" s="111" t="s">
        <v>292</v>
      </c>
      <c r="H14" s="113" t="s">
        <v>293</v>
      </c>
      <c r="I14" s="113" t="s">
        <v>294</v>
      </c>
      <c r="J14" s="113" t="s">
        <v>295</v>
      </c>
      <c r="K14" s="114" t="s">
        <v>296</v>
      </c>
      <c r="L14" s="291" t="s">
        <v>297</v>
      </c>
      <c r="M14" s="292" t="s">
        <v>298</v>
      </c>
      <c r="N14" s="112" t="s">
        <v>299</v>
      </c>
      <c r="O14" s="417" t="s">
        <v>300</v>
      </c>
      <c r="P14" s="418" t="s">
        <v>301</v>
      </c>
      <c r="Q14" s="418" t="s">
        <v>302</v>
      </c>
      <c r="R14" s="418" t="s">
        <v>303</v>
      </c>
      <c r="S14" s="418" t="s">
        <v>304</v>
      </c>
      <c r="T14" s="418" t="s">
        <v>301</v>
      </c>
      <c r="U14" s="418" t="s">
        <v>305</v>
      </c>
      <c r="V14" s="419" t="s">
        <v>303</v>
      </c>
      <c r="W14" s="410" t="s">
        <v>306</v>
      </c>
      <c r="X14" s="115" t="s">
        <v>307</v>
      </c>
      <c r="Y14" s="116" t="s">
        <v>308</v>
      </c>
      <c r="Z14" s="116" t="s">
        <v>248</v>
      </c>
      <c r="AA14" s="114" t="s">
        <v>309</v>
      </c>
      <c r="AB14" s="115" t="s">
        <v>248</v>
      </c>
      <c r="AC14" s="116" t="s">
        <v>310</v>
      </c>
      <c r="AD14" s="116" t="s">
        <v>311</v>
      </c>
      <c r="AE14" s="116" t="s">
        <v>312</v>
      </c>
      <c r="AF14" s="114" t="s">
        <v>313</v>
      </c>
    </row>
    <row r="15" spans="2:32">
      <c r="B15" s="601">
        <v>231</v>
      </c>
      <c r="C15" s="602" t="s">
        <v>314</v>
      </c>
      <c r="D15" s="603" t="s">
        <v>315</v>
      </c>
      <c r="E15" s="604">
        <v>36250.86</v>
      </c>
      <c r="F15" s="605">
        <v>3187.2</v>
      </c>
      <c r="G15" s="606">
        <v>384000</v>
      </c>
      <c r="H15" s="607">
        <v>60</v>
      </c>
      <c r="I15" s="300">
        <f>IF(ISBLANK(H15),"",IF(H15&lt;Beregningsperiode,Beregningsperiode/'Inndata Bygg'!H15-1,0))</f>
        <v>0</v>
      </c>
      <c r="J15" s="120">
        <f t="shared" ref="J15:J16" si="0">IF(ISBLANK(H15),"",G15*I15)</f>
        <v>0</v>
      </c>
      <c r="K15" s="608">
        <v>0.05</v>
      </c>
      <c r="L15" s="609">
        <v>0</v>
      </c>
      <c r="M15" s="610">
        <v>0</v>
      </c>
      <c r="N15" s="610">
        <v>0.15</v>
      </c>
      <c r="O15" s="302"/>
      <c r="P15" s="299"/>
      <c r="Q15" s="299"/>
      <c r="R15" s="299"/>
      <c r="S15" s="299"/>
      <c r="T15" s="299"/>
      <c r="U15" s="299"/>
      <c r="V15" s="299"/>
      <c r="W15" s="411"/>
      <c r="X15" s="611">
        <v>0</v>
      </c>
      <c r="Y15" s="611">
        <v>1</v>
      </c>
      <c r="Z15" s="612">
        <v>0</v>
      </c>
      <c r="AA15" s="613">
        <v>0</v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482"/>
      <c r="H16" s="587"/>
      <c r="I16" s="300" t="str">
        <f>IF(ISBLANK(H16),"",IF(H16&lt;Beregningsperiode,Beregningsperiode/'Inndata Bygg'!H16-1,0))</f>
        <v/>
      </c>
      <c r="J16" s="120" t="str">
        <f t="shared" si="0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482"/>
      <c r="H17" s="587"/>
      <c r="I17" s="300" t="str">
        <f>IF(ISBLANK(H17),"",IF(H17&lt;Beregningsperiode,Beregningsperiode/'Inndata Bygg'!H17-1,0))</f>
        <v/>
      </c>
      <c r="J17" s="120" t="str">
        <f t="shared" ref="J17:J80" si="1">IF(ISBLANK(H17),"",G17*I17)</f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482"/>
      <c r="H18" s="587"/>
      <c r="I18" s="300" t="str">
        <f>IF(ISBLANK(H18),"",IF(H18&lt;Beregningsperiode,Beregningsperiode/'Inndata Bygg'!H18-1,0))</f>
        <v/>
      </c>
      <c r="J18" s="120" t="str">
        <f t="shared" si="1"/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482"/>
      <c r="H19" s="587"/>
      <c r="I19" s="300" t="str">
        <f>IF(ISBLANK(H19),"",IF(H19&lt;Beregningsperiode,Beregningsperiode/'Inndata Bygg'!H19-1,0))</f>
        <v/>
      </c>
      <c r="J19" s="120" t="str">
        <f t="shared" si="1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482"/>
      <c r="H20" s="587"/>
      <c r="I20" s="300" t="str">
        <f>IF(ISBLANK(H20),"",IF(H20&lt;Beregningsperiode,Beregningsperiode/'Inndata Bygg'!H20-1,0))</f>
        <v/>
      </c>
      <c r="J20" s="120" t="str">
        <f t="shared" si="1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482"/>
      <c r="H21" s="587"/>
      <c r="I21" s="300" t="str">
        <f>IF(ISBLANK(H21),"",IF(H21&lt;Beregningsperiode,Beregningsperiode/'Inndata Bygg'!H21-1,0))</f>
        <v/>
      </c>
      <c r="J21" s="120" t="str">
        <f t="shared" si="1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482"/>
      <c r="H22" s="587"/>
      <c r="I22" s="300" t="str">
        <f>IF(ISBLANK(H22),"",IF(H22&lt;Beregningsperiode,Beregningsperiode/'Inndata Bygg'!H22-1,0))</f>
        <v/>
      </c>
      <c r="J22" s="120" t="str">
        <f t="shared" si="1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482"/>
      <c r="H23" s="587"/>
      <c r="I23" s="300" t="str">
        <f>IF(ISBLANK(H23),"",IF(H23&lt;Beregningsperiode,Beregningsperiode/'Inndata Bygg'!H23-1,0))</f>
        <v/>
      </c>
      <c r="J23" s="120" t="str">
        <f t="shared" si="1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482"/>
      <c r="H24" s="587"/>
      <c r="I24" s="300" t="str">
        <f>IF(ISBLANK(H24),"",IF(H24&lt;Beregningsperiode,Beregningsperiode/'Inndata Bygg'!H24-1,0))</f>
        <v/>
      </c>
      <c r="J24" s="120" t="str">
        <f t="shared" si="1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482"/>
      <c r="H25" s="587"/>
      <c r="I25" s="300" t="str">
        <f>IF(ISBLANK(H25),"",IF(H25&lt;Beregningsperiode,Beregningsperiode/'Inndata Bygg'!H25-1,0))</f>
        <v/>
      </c>
      <c r="J25" s="120" t="str">
        <f t="shared" si="1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482"/>
      <c r="H26" s="587"/>
      <c r="I26" s="300" t="str">
        <f>IF(ISBLANK(H26),"",IF(H26&lt;Beregningsperiode,Beregningsperiode/'Inndata Bygg'!H26-1,0))</f>
        <v/>
      </c>
      <c r="J26" s="120" t="str">
        <f t="shared" si="1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482"/>
      <c r="H27" s="587"/>
      <c r="I27" s="300" t="str">
        <f>IF(ISBLANK(H27),"",IF(H27&lt;Beregningsperiode,Beregningsperiode/'Inndata Bygg'!H27-1,0))</f>
        <v/>
      </c>
      <c r="J27" s="120" t="str">
        <f t="shared" si="1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482"/>
      <c r="H28" s="587"/>
      <c r="I28" s="300" t="str">
        <f>IF(ISBLANK(H28),"",IF(H28&lt;Beregningsperiode,Beregningsperiode/'Inndata Bygg'!H28-1,0))</f>
        <v/>
      </c>
      <c r="J28" s="120" t="str">
        <f t="shared" si="1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482"/>
      <c r="H29" s="587"/>
      <c r="I29" s="300" t="str">
        <f>IF(ISBLANK(H29),"",IF(H29&lt;Beregningsperiode,Beregningsperiode/'Inndata Bygg'!H29-1,0))</f>
        <v/>
      </c>
      <c r="J29" s="120" t="str">
        <f t="shared" si="1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482"/>
      <c r="H30" s="587"/>
      <c r="I30" s="300" t="str">
        <f>IF(ISBLANK(H30),"",IF(H30&lt;Beregningsperiode,Beregningsperiode/'Inndata Bygg'!H30-1,0))</f>
        <v/>
      </c>
      <c r="J30" s="120" t="str">
        <f t="shared" si="1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482"/>
      <c r="H31" s="587"/>
      <c r="I31" s="300" t="str">
        <f>IF(ISBLANK(H31),"",IF(H31&lt;Beregningsperiode,Beregningsperiode/'Inndata Bygg'!H31-1,0))</f>
        <v/>
      </c>
      <c r="J31" s="120" t="str">
        <f t="shared" si="1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482"/>
      <c r="H32" s="587"/>
      <c r="I32" s="300" t="str">
        <f>IF(ISBLANK(H32),"",IF(H32&lt;Beregningsperiode,Beregningsperiode/'Inndata Bygg'!H32-1,0))</f>
        <v/>
      </c>
      <c r="J32" s="120" t="str">
        <f t="shared" si="1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482"/>
      <c r="H33" s="587"/>
      <c r="I33" s="300" t="str">
        <f>IF(ISBLANK(H33),"",IF(H33&lt;Beregningsperiode,Beregningsperiode/'Inndata Bygg'!H33-1,0))</f>
        <v/>
      </c>
      <c r="J33" s="120" t="str">
        <f t="shared" si="1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482"/>
      <c r="H34" s="587"/>
      <c r="I34" s="300" t="str">
        <f>IF(ISBLANK(H34),"",IF(H34&lt;Beregningsperiode,Beregningsperiode/'Inndata Bygg'!H34-1,0))</f>
        <v/>
      </c>
      <c r="J34" s="120" t="str">
        <f t="shared" si="1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482"/>
      <c r="H35" s="587"/>
      <c r="I35" s="300" t="str">
        <f>IF(ISBLANK(H35),"",IF(H35&lt;Beregningsperiode,Beregningsperiode/'Inndata Bygg'!H35-1,0))</f>
        <v/>
      </c>
      <c r="J35" s="120" t="str">
        <f t="shared" si="1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482"/>
      <c r="H36" s="587"/>
      <c r="I36" s="300" t="str">
        <f>IF(ISBLANK(H36),"",IF(H36&lt;Beregningsperiode,Beregningsperiode/'Inndata Bygg'!H36-1,0))</f>
        <v/>
      </c>
      <c r="J36" s="120" t="str">
        <f t="shared" si="1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482"/>
      <c r="H37" s="587"/>
      <c r="I37" s="300" t="str">
        <f>IF(ISBLANK(H37),"",IF(H37&lt;Beregningsperiode,Beregningsperiode/'Inndata Bygg'!H37-1,0))</f>
        <v/>
      </c>
      <c r="J37" s="120" t="str">
        <f t="shared" si="1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482"/>
      <c r="H38" s="587"/>
      <c r="I38" s="300" t="str">
        <f>IF(ISBLANK(H38),"",IF(H38&lt;Beregningsperiode,Beregningsperiode/'Inndata Bygg'!H38-1,0))</f>
        <v/>
      </c>
      <c r="J38" s="120" t="str">
        <f t="shared" si="1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482"/>
      <c r="H39" s="587"/>
      <c r="I39" s="300" t="str">
        <f>IF(ISBLANK(H39),"",IF(H39&lt;Beregningsperiode,Beregningsperiode/'Inndata Bygg'!H39-1,0))</f>
        <v/>
      </c>
      <c r="J39" s="120" t="str">
        <f t="shared" si="1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482"/>
      <c r="H40" s="587"/>
      <c r="I40" s="300" t="str">
        <f>IF(ISBLANK(H40),"",IF(H40&lt;Beregningsperiode,Beregningsperiode/'Inndata Bygg'!H40-1,0))</f>
        <v/>
      </c>
      <c r="J40" s="120" t="str">
        <f t="shared" si="1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482"/>
      <c r="H41" s="587"/>
      <c r="I41" s="300" t="str">
        <f>IF(ISBLANK(H41),"",IF(H41&lt;Beregningsperiode,Beregningsperiode/'Inndata Bygg'!H41-1,0))</f>
        <v/>
      </c>
      <c r="J41" s="120" t="str">
        <f t="shared" si="1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482"/>
      <c r="H42" s="587"/>
      <c r="I42" s="300" t="str">
        <f>IF(ISBLANK(H42),"",IF(H42&lt;Beregningsperiode,Beregningsperiode/'Inndata Bygg'!H42-1,0))</f>
        <v/>
      </c>
      <c r="J42" s="120" t="str">
        <f t="shared" si="1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482"/>
      <c r="H43" s="587"/>
      <c r="I43" s="300" t="str">
        <f>IF(ISBLANK(H43),"",IF(H43&lt;Beregningsperiode,Beregningsperiode/'Inndata Bygg'!H43-1,0))</f>
        <v/>
      </c>
      <c r="J43" s="120" t="str">
        <f t="shared" si="1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482"/>
      <c r="H44" s="587"/>
      <c r="I44" s="300" t="str">
        <f>IF(ISBLANK(H44),"",IF(H44&lt;Beregningsperiode,Beregningsperiode/'Inndata Bygg'!H44-1,0))</f>
        <v/>
      </c>
      <c r="J44" s="120" t="str">
        <f t="shared" si="1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482"/>
      <c r="H45" s="587"/>
      <c r="I45" s="300" t="str">
        <f>IF(ISBLANK(H45),"",IF(H45&lt;Beregningsperiode,Beregningsperiode/'Inndata Bygg'!H45-1,0))</f>
        <v/>
      </c>
      <c r="J45" s="120" t="str">
        <f t="shared" si="1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482"/>
      <c r="H46" s="587"/>
      <c r="I46" s="300" t="str">
        <f>IF(ISBLANK(H46),"",IF(H46&lt;Beregningsperiode,Beregningsperiode/'Inndata Bygg'!H46-1,0))</f>
        <v/>
      </c>
      <c r="J46" s="120" t="str">
        <f t="shared" si="1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482"/>
      <c r="H47" s="587"/>
      <c r="I47" s="300" t="str">
        <f>IF(ISBLANK(H47),"",IF(H47&lt;Beregningsperiode,Beregningsperiode/'Inndata Bygg'!H47-1,0))</f>
        <v/>
      </c>
      <c r="J47" s="120" t="str">
        <f t="shared" si="1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167"/>
      <c r="C48" s="168"/>
      <c r="D48" s="117"/>
      <c r="E48" s="299"/>
      <c r="F48" s="119"/>
      <c r="G48" s="482"/>
      <c r="H48" s="587"/>
      <c r="I48" s="300" t="str">
        <f>IF(ISBLANK(H48),"",IF(H48&lt;Beregningsperiode,Beregningsperiode/'Inndata Bygg'!H48-1,0))</f>
        <v/>
      </c>
      <c r="J48" s="120" t="str">
        <f t="shared" si="1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71"/>
      <c r="AC48" s="171"/>
      <c r="AD48" s="171"/>
      <c r="AE48" s="171"/>
      <c r="AF48" s="124"/>
    </row>
    <row r="49" spans="2:32">
      <c r="B49" s="167"/>
      <c r="C49" s="168"/>
      <c r="D49" s="117"/>
      <c r="E49" s="299"/>
      <c r="F49" s="119"/>
      <c r="G49" s="482"/>
      <c r="H49" s="587"/>
      <c r="I49" s="300" t="str">
        <f>IF(ISBLANK(H49),"",IF(H49&lt;Beregningsperiode,Beregningsperiode/'Inndata Bygg'!H49-1,0))</f>
        <v/>
      </c>
      <c r="J49" s="120" t="str">
        <f t="shared" si="1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71"/>
      <c r="AC49" s="171"/>
      <c r="AD49" s="171"/>
      <c r="AE49" s="171"/>
      <c r="AF49" s="124"/>
    </row>
    <row r="50" spans="2:32">
      <c r="B50" s="167"/>
      <c r="C50" s="168"/>
      <c r="D50" s="117"/>
      <c r="E50" s="299"/>
      <c r="F50" s="119"/>
      <c r="G50" s="482"/>
      <c r="H50" s="587"/>
      <c r="I50" s="300" t="str">
        <f>IF(ISBLANK(H50),"",IF(H50&lt;Beregningsperiode,Beregningsperiode/'Inndata Bygg'!H50-1,0))</f>
        <v/>
      </c>
      <c r="J50" s="120" t="str">
        <f t="shared" si="1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71"/>
      <c r="AC50" s="171"/>
      <c r="AD50" s="171"/>
      <c r="AE50" s="171"/>
      <c r="AF50" s="124"/>
    </row>
    <row r="51" spans="2:32">
      <c r="B51" s="167"/>
      <c r="C51" s="168"/>
      <c r="D51" s="117"/>
      <c r="E51" s="299"/>
      <c r="F51" s="119"/>
      <c r="G51" s="482"/>
      <c r="H51" s="587"/>
      <c r="I51" s="300" t="str">
        <f>IF(ISBLANK(H51),"",IF(H51&lt;Beregningsperiode,Beregningsperiode/'Inndata Bygg'!H51-1,0))</f>
        <v/>
      </c>
      <c r="J51" s="120" t="str">
        <f t="shared" si="1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71"/>
      <c r="AC51" s="171"/>
      <c r="AD51" s="171"/>
      <c r="AE51" s="171"/>
      <c r="AF51" s="124"/>
    </row>
    <row r="52" spans="2:32">
      <c r="B52" s="167"/>
      <c r="C52" s="168"/>
      <c r="D52" s="117"/>
      <c r="E52" s="299"/>
      <c r="F52" s="119"/>
      <c r="G52" s="482"/>
      <c r="H52" s="587"/>
      <c r="I52" s="300" t="str">
        <f>IF(ISBLANK(H52),"",IF(H52&lt;Beregningsperiode,Beregningsperiode/'Inndata Bygg'!H52-1,0))</f>
        <v/>
      </c>
      <c r="J52" s="120" t="str">
        <f t="shared" si="1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71"/>
      <c r="AC52" s="171"/>
      <c r="AD52" s="171"/>
      <c r="AE52" s="171"/>
      <c r="AF52" s="124"/>
    </row>
    <row r="53" spans="2:32">
      <c r="B53" s="167"/>
      <c r="C53" s="168"/>
      <c r="D53" s="117"/>
      <c r="E53" s="299"/>
      <c r="F53" s="119"/>
      <c r="G53" s="482"/>
      <c r="H53" s="587"/>
      <c r="I53" s="300" t="str">
        <f>IF(ISBLANK(H53),"",IF(H53&lt;Beregningsperiode,Beregningsperiode/'Inndata Bygg'!H53-1,0))</f>
        <v/>
      </c>
      <c r="J53" s="120" t="str">
        <f t="shared" si="1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71"/>
      <c r="AC53" s="171"/>
      <c r="AD53" s="171"/>
      <c r="AE53" s="171"/>
      <c r="AF53" s="124"/>
    </row>
    <row r="54" spans="2:32">
      <c r="B54" s="167"/>
      <c r="C54" s="168"/>
      <c r="D54" s="117"/>
      <c r="E54" s="299"/>
      <c r="F54" s="119"/>
      <c r="G54" s="482"/>
      <c r="H54" s="587"/>
      <c r="I54" s="300" t="str">
        <f>IF(ISBLANK(H54),"",IF(H54&lt;Beregningsperiode,Beregningsperiode/'Inndata Bygg'!H54-1,0))</f>
        <v/>
      </c>
      <c r="J54" s="120" t="str">
        <f t="shared" si="1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71"/>
      <c r="AC54" s="171"/>
      <c r="AD54" s="171"/>
      <c r="AE54" s="171"/>
      <c r="AF54" s="124"/>
    </row>
    <row r="55" spans="2:32">
      <c r="B55" s="167"/>
      <c r="C55" s="168"/>
      <c r="D55" s="117"/>
      <c r="E55" s="299"/>
      <c r="F55" s="119"/>
      <c r="G55" s="482"/>
      <c r="H55" s="587"/>
      <c r="I55" s="300" t="str">
        <f>IF(ISBLANK(H55),"",IF(H55&lt;Beregningsperiode,Beregningsperiode/'Inndata Bygg'!H55-1,0))</f>
        <v/>
      </c>
      <c r="J55" s="120" t="str">
        <f t="shared" si="1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71"/>
      <c r="AC55" s="171"/>
      <c r="AD55" s="171"/>
      <c r="AE55" s="171"/>
      <c r="AF55" s="124"/>
    </row>
    <row r="56" spans="2:32">
      <c r="B56" s="167"/>
      <c r="C56" s="168"/>
      <c r="D56" s="117"/>
      <c r="E56" s="299"/>
      <c r="F56" s="119"/>
      <c r="G56" s="482"/>
      <c r="H56" s="587"/>
      <c r="I56" s="300" t="str">
        <f>IF(ISBLANK(H56),"",IF(H56&lt;Beregningsperiode,Beregningsperiode/'Inndata Bygg'!H56-1,0))</f>
        <v/>
      </c>
      <c r="J56" s="120" t="str">
        <f t="shared" si="1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71"/>
      <c r="AC56" s="171"/>
      <c r="AD56" s="171"/>
      <c r="AE56" s="171"/>
      <c r="AF56" s="124"/>
    </row>
    <row r="57" spans="2:32">
      <c r="B57" s="167"/>
      <c r="C57" s="168"/>
      <c r="D57" s="117"/>
      <c r="E57" s="299"/>
      <c r="F57" s="119"/>
      <c r="G57" s="482"/>
      <c r="H57" s="587"/>
      <c r="I57" s="300" t="str">
        <f>IF(ISBLANK(H57),"",IF(H57&lt;Beregningsperiode,Beregningsperiode/'Inndata Bygg'!H57-1,0))</f>
        <v/>
      </c>
      <c r="J57" s="120" t="str">
        <f t="shared" si="1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71"/>
      <c r="AC57" s="171"/>
      <c r="AD57" s="171"/>
      <c r="AE57" s="171"/>
      <c r="AF57" s="124"/>
    </row>
    <row r="58" spans="2:32">
      <c r="B58" s="167"/>
      <c r="C58" s="168"/>
      <c r="D58" s="117"/>
      <c r="E58" s="299"/>
      <c r="F58" s="119"/>
      <c r="G58" s="482"/>
      <c r="H58" s="587"/>
      <c r="I58" s="300" t="str">
        <f>IF(ISBLANK(H58),"",IF(H58&lt;Beregningsperiode,Beregningsperiode/'Inndata Bygg'!H58-1,0))</f>
        <v/>
      </c>
      <c r="J58" s="120" t="str">
        <f t="shared" si="1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71"/>
      <c r="AC58" s="171"/>
      <c r="AD58" s="171"/>
      <c r="AE58" s="171"/>
      <c r="AF58" s="124"/>
    </row>
    <row r="59" spans="2:32">
      <c r="B59" s="167"/>
      <c r="C59" s="168"/>
      <c r="D59" s="117"/>
      <c r="E59" s="299"/>
      <c r="F59" s="119"/>
      <c r="G59" s="482"/>
      <c r="H59" s="587"/>
      <c r="I59" s="300" t="str">
        <f>IF(ISBLANK(H59),"",IF(H59&lt;Beregningsperiode,Beregningsperiode/'Inndata Bygg'!H59-1,0))</f>
        <v/>
      </c>
      <c r="J59" s="120" t="str">
        <f t="shared" si="1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71"/>
      <c r="AC59" s="171"/>
      <c r="AD59" s="171"/>
      <c r="AE59" s="171"/>
      <c r="AF59" s="124"/>
    </row>
    <row r="60" spans="2:32">
      <c r="B60" s="167"/>
      <c r="C60" s="168"/>
      <c r="D60" s="117"/>
      <c r="E60" s="299"/>
      <c r="F60" s="119"/>
      <c r="G60" s="482"/>
      <c r="H60" s="587"/>
      <c r="I60" s="300" t="str">
        <f>IF(ISBLANK(H60),"",IF(H60&lt;Beregningsperiode,Beregningsperiode/'Inndata Bygg'!H60-1,0))</f>
        <v/>
      </c>
      <c r="J60" s="120" t="str">
        <f t="shared" si="1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71"/>
      <c r="AC60" s="171"/>
      <c r="AD60" s="171"/>
      <c r="AE60" s="171"/>
      <c r="AF60" s="124"/>
    </row>
    <row r="61" spans="2:32">
      <c r="B61" s="167"/>
      <c r="C61" s="168"/>
      <c r="D61" s="117"/>
      <c r="E61" s="299"/>
      <c r="F61" s="119"/>
      <c r="G61" s="482"/>
      <c r="H61" s="587"/>
      <c r="I61" s="300" t="str">
        <f>IF(ISBLANK(H61),"",IF(H61&lt;Beregningsperiode,Beregningsperiode/'Inndata Bygg'!H61-1,0))</f>
        <v/>
      </c>
      <c r="J61" s="120" t="str">
        <f t="shared" si="1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71"/>
      <c r="AC61" s="171"/>
      <c r="AD61" s="171"/>
      <c r="AE61" s="171"/>
      <c r="AF61" s="124"/>
    </row>
    <row r="62" spans="2:32">
      <c r="B62" s="167"/>
      <c r="C62" s="168"/>
      <c r="D62" s="117"/>
      <c r="E62" s="299"/>
      <c r="F62" s="119"/>
      <c r="G62" s="482"/>
      <c r="H62" s="587"/>
      <c r="I62" s="300" t="str">
        <f>IF(ISBLANK(H62),"",IF(H62&lt;Beregningsperiode,Beregningsperiode/'Inndata Bygg'!H62-1,0))</f>
        <v/>
      </c>
      <c r="J62" s="120" t="str">
        <f t="shared" si="1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71"/>
      <c r="AC62" s="171"/>
      <c r="AD62" s="171"/>
      <c r="AE62" s="171"/>
      <c r="AF62" s="124"/>
    </row>
    <row r="63" spans="2:32">
      <c r="B63" s="167"/>
      <c r="C63" s="168"/>
      <c r="D63" s="117"/>
      <c r="E63" s="299"/>
      <c r="F63" s="119"/>
      <c r="G63" s="482"/>
      <c r="H63" s="587"/>
      <c r="I63" s="300" t="str">
        <f>IF(ISBLANK(H63),"",IF(H63&lt;Beregningsperiode,Beregningsperiode/'Inndata Bygg'!H63-1,0))</f>
        <v/>
      </c>
      <c r="J63" s="120" t="str">
        <f t="shared" si="1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71"/>
      <c r="AC63" s="171"/>
      <c r="AD63" s="171"/>
      <c r="AE63" s="171"/>
      <c r="AF63" s="124"/>
    </row>
    <row r="64" spans="2:32">
      <c r="B64" s="167"/>
      <c r="C64" s="168"/>
      <c r="D64" s="117"/>
      <c r="E64" s="299"/>
      <c r="F64" s="119"/>
      <c r="G64" s="482"/>
      <c r="H64" s="587"/>
      <c r="I64" s="300" t="str">
        <f>IF(ISBLANK(H64),"",IF(H64&lt;Beregningsperiode,Beregningsperiode/'Inndata Bygg'!H64-1,0))</f>
        <v/>
      </c>
      <c r="J64" s="120" t="str">
        <f t="shared" si="1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71"/>
      <c r="AC64" s="171"/>
      <c r="AD64" s="171"/>
      <c r="AE64" s="171"/>
      <c r="AF64" s="124"/>
    </row>
    <row r="65" spans="2:32">
      <c r="B65" s="167"/>
      <c r="C65" s="168"/>
      <c r="D65" s="117"/>
      <c r="E65" s="299"/>
      <c r="F65" s="119"/>
      <c r="G65" s="482"/>
      <c r="H65" s="587"/>
      <c r="I65" s="300" t="str">
        <f>IF(ISBLANK(H65),"",IF(H65&lt;Beregningsperiode,Beregningsperiode/'Inndata Bygg'!H65-1,0))</f>
        <v/>
      </c>
      <c r="J65" s="120" t="str">
        <f t="shared" si="1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71"/>
      <c r="AC65" s="171"/>
      <c r="AD65" s="171"/>
      <c r="AE65" s="171"/>
      <c r="AF65" s="124"/>
    </row>
    <row r="66" spans="2:32">
      <c r="B66" s="167"/>
      <c r="C66" s="168"/>
      <c r="D66" s="117"/>
      <c r="E66" s="299"/>
      <c r="F66" s="119"/>
      <c r="G66" s="482"/>
      <c r="H66" s="587"/>
      <c r="I66" s="300" t="str">
        <f>IF(ISBLANK(H66),"",IF(H66&lt;Beregningsperiode,Beregningsperiode/'Inndata Bygg'!H66-1,0))</f>
        <v/>
      </c>
      <c r="J66" s="120" t="str">
        <f t="shared" si="1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71"/>
      <c r="AC66" s="171"/>
      <c r="AD66" s="171"/>
      <c r="AE66" s="171"/>
      <c r="AF66" s="124"/>
    </row>
    <row r="67" spans="2:32">
      <c r="B67" s="167"/>
      <c r="C67" s="168"/>
      <c r="D67" s="117"/>
      <c r="E67" s="299"/>
      <c r="F67" s="119"/>
      <c r="G67" s="482"/>
      <c r="H67" s="587"/>
      <c r="I67" s="300" t="str">
        <f>IF(ISBLANK(H67),"",IF(H67&lt;Beregningsperiode,Beregningsperiode/'Inndata Bygg'!H67-1,0))</f>
        <v/>
      </c>
      <c r="J67" s="120" t="str">
        <f t="shared" si="1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71"/>
      <c r="AC67" s="171"/>
      <c r="AD67" s="171"/>
      <c r="AE67" s="171"/>
      <c r="AF67" s="124"/>
    </row>
    <row r="68" spans="2:32">
      <c r="B68" s="167"/>
      <c r="C68" s="168"/>
      <c r="D68" s="117"/>
      <c r="E68" s="299"/>
      <c r="F68" s="119"/>
      <c r="G68" s="482"/>
      <c r="H68" s="587"/>
      <c r="I68" s="300" t="str">
        <f>IF(ISBLANK(H68),"",IF(H68&lt;Beregningsperiode,Beregningsperiode/'Inndata Bygg'!H68-1,0))</f>
        <v/>
      </c>
      <c r="J68" s="120" t="str">
        <f t="shared" si="1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71"/>
      <c r="AC68" s="171"/>
      <c r="AD68" s="171"/>
      <c r="AE68" s="171"/>
      <c r="AF68" s="124"/>
    </row>
    <row r="69" spans="2:32">
      <c r="B69" s="167"/>
      <c r="C69" s="168"/>
      <c r="D69" s="117"/>
      <c r="E69" s="299"/>
      <c r="F69" s="119"/>
      <c r="G69" s="482"/>
      <c r="H69" s="587"/>
      <c r="I69" s="300" t="str">
        <f>IF(ISBLANK(H69),"",IF(H69&lt;Beregningsperiode,Beregningsperiode/'Inndata Bygg'!H69-1,0))</f>
        <v/>
      </c>
      <c r="J69" s="120" t="str">
        <f t="shared" si="1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71"/>
      <c r="AC69" s="171"/>
      <c r="AD69" s="171"/>
      <c r="AE69" s="171"/>
      <c r="AF69" s="124"/>
    </row>
    <row r="70" spans="2:32">
      <c r="B70" s="167"/>
      <c r="C70" s="168"/>
      <c r="D70" s="117"/>
      <c r="E70" s="299"/>
      <c r="F70" s="119"/>
      <c r="G70" s="482"/>
      <c r="H70" s="587"/>
      <c r="I70" s="300" t="str">
        <f>IF(ISBLANK(H70),"",IF(H70&lt;Beregningsperiode,Beregningsperiode/'Inndata Bygg'!H70-1,0))</f>
        <v/>
      </c>
      <c r="J70" s="120" t="str">
        <f t="shared" si="1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71"/>
      <c r="AC70" s="171"/>
      <c r="AD70" s="171"/>
      <c r="AE70" s="171"/>
      <c r="AF70" s="124"/>
    </row>
    <row r="71" spans="2:32">
      <c r="B71" s="167"/>
      <c r="C71" s="168"/>
      <c r="D71" s="117"/>
      <c r="E71" s="299"/>
      <c r="F71" s="119"/>
      <c r="G71" s="482"/>
      <c r="H71" s="587"/>
      <c r="I71" s="300" t="str">
        <f>IF(ISBLANK(H71),"",IF(H71&lt;Beregningsperiode,Beregningsperiode/'Inndata Bygg'!H71-1,0))</f>
        <v/>
      </c>
      <c r="J71" s="120" t="str">
        <f t="shared" si="1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71"/>
      <c r="AC71" s="171"/>
      <c r="AD71" s="171"/>
      <c r="AE71" s="171"/>
      <c r="AF71" s="124"/>
    </row>
    <row r="72" spans="2:32">
      <c r="B72" s="167"/>
      <c r="C72" s="168"/>
      <c r="D72" s="117"/>
      <c r="E72" s="299"/>
      <c r="F72" s="119"/>
      <c r="G72" s="482"/>
      <c r="H72" s="587"/>
      <c r="I72" s="300" t="str">
        <f>IF(ISBLANK(H72),"",IF(H72&lt;Beregningsperiode,Beregningsperiode/'Inndata Bygg'!H72-1,0))</f>
        <v/>
      </c>
      <c r="J72" s="120" t="str">
        <f t="shared" si="1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71"/>
      <c r="AC72" s="171"/>
      <c r="AD72" s="171"/>
      <c r="AE72" s="171"/>
      <c r="AF72" s="124"/>
    </row>
    <row r="73" spans="2:32">
      <c r="B73" s="167"/>
      <c r="C73" s="168"/>
      <c r="D73" s="117"/>
      <c r="E73" s="299"/>
      <c r="F73" s="119"/>
      <c r="G73" s="482"/>
      <c r="H73" s="587"/>
      <c r="I73" s="300" t="str">
        <f>IF(ISBLANK(H73),"",IF(H73&lt;Beregningsperiode,Beregningsperiode/'Inndata Bygg'!H73-1,0))</f>
        <v/>
      </c>
      <c r="J73" s="120" t="str">
        <f t="shared" si="1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71"/>
      <c r="AC73" s="171"/>
      <c r="AD73" s="171"/>
      <c r="AE73" s="171"/>
      <c r="AF73" s="124"/>
    </row>
    <row r="74" spans="2:32">
      <c r="B74" s="167"/>
      <c r="C74" s="168"/>
      <c r="D74" s="117"/>
      <c r="E74" s="299"/>
      <c r="F74" s="119"/>
      <c r="G74" s="482"/>
      <c r="H74" s="587"/>
      <c r="I74" s="300" t="str">
        <f>IF(ISBLANK(H74),"",IF(H74&lt;Beregningsperiode,Beregningsperiode/'Inndata Bygg'!H74-1,0))</f>
        <v/>
      </c>
      <c r="J74" s="120" t="str">
        <f t="shared" si="1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71"/>
      <c r="AC74" s="171"/>
      <c r="AD74" s="171"/>
      <c r="AE74" s="171"/>
      <c r="AF74" s="124"/>
    </row>
    <row r="75" spans="2:32">
      <c r="B75" s="167"/>
      <c r="C75" s="168"/>
      <c r="D75" s="117"/>
      <c r="E75" s="299"/>
      <c r="F75" s="119"/>
      <c r="G75" s="482"/>
      <c r="H75" s="587"/>
      <c r="I75" s="300" t="str">
        <f>IF(ISBLANK(H75),"",IF(H75&lt;Beregningsperiode,Beregningsperiode/'Inndata Bygg'!H75-1,0))</f>
        <v/>
      </c>
      <c r="J75" s="120" t="str">
        <f t="shared" si="1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71"/>
      <c r="AC75" s="171"/>
      <c r="AD75" s="171"/>
      <c r="AE75" s="171"/>
      <c r="AF75" s="124"/>
    </row>
    <row r="76" spans="2:32">
      <c r="B76" s="167"/>
      <c r="C76" s="168"/>
      <c r="D76" s="117"/>
      <c r="E76" s="299"/>
      <c r="F76" s="119"/>
      <c r="G76" s="482"/>
      <c r="H76" s="587"/>
      <c r="I76" s="300" t="str">
        <f>IF(ISBLANK(H76),"",IF(H76&lt;Beregningsperiode,Beregningsperiode/'Inndata Bygg'!H76-1,0))</f>
        <v/>
      </c>
      <c r="J76" s="120" t="str">
        <f t="shared" si="1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71"/>
      <c r="AC76" s="171"/>
      <c r="AD76" s="171"/>
      <c r="AE76" s="171"/>
      <c r="AF76" s="124"/>
    </row>
    <row r="77" spans="2:32">
      <c r="B77" s="167"/>
      <c r="C77" s="168"/>
      <c r="D77" s="117"/>
      <c r="E77" s="299"/>
      <c r="F77" s="119"/>
      <c r="G77" s="482"/>
      <c r="H77" s="587"/>
      <c r="I77" s="300" t="str">
        <f>IF(ISBLANK(H77),"",IF(H77&lt;Beregningsperiode,Beregningsperiode/'Inndata Bygg'!H77-1,0))</f>
        <v/>
      </c>
      <c r="J77" s="120" t="str">
        <f t="shared" si="1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71"/>
      <c r="AC77" s="171"/>
      <c r="AD77" s="171"/>
      <c r="AE77" s="171"/>
      <c r="AF77" s="124"/>
    </row>
    <row r="78" spans="2:32">
      <c r="B78" s="167"/>
      <c r="C78" s="168"/>
      <c r="D78" s="117"/>
      <c r="E78" s="299"/>
      <c r="F78" s="119"/>
      <c r="G78" s="482"/>
      <c r="H78" s="587"/>
      <c r="I78" s="300" t="str">
        <f>IF(ISBLANK(H78),"",IF(H78&lt;Beregningsperiode,Beregningsperiode/'Inndata Bygg'!H78-1,0))</f>
        <v/>
      </c>
      <c r="J78" s="120" t="str">
        <f t="shared" si="1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71"/>
      <c r="AC78" s="171"/>
      <c r="AD78" s="171"/>
      <c r="AE78" s="171"/>
      <c r="AF78" s="124"/>
    </row>
    <row r="79" spans="2:32">
      <c r="B79" s="167"/>
      <c r="C79" s="168"/>
      <c r="D79" s="117"/>
      <c r="E79" s="299"/>
      <c r="F79" s="119"/>
      <c r="G79" s="482"/>
      <c r="H79" s="587"/>
      <c r="I79" s="300" t="str">
        <f>IF(ISBLANK(H79),"",IF(H79&lt;Beregningsperiode,Beregningsperiode/'Inndata Bygg'!H79-1,0))</f>
        <v/>
      </c>
      <c r="J79" s="120" t="str">
        <f t="shared" si="1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71"/>
      <c r="AC79" s="171"/>
      <c r="AD79" s="171"/>
      <c r="AE79" s="171"/>
      <c r="AF79" s="124"/>
    </row>
    <row r="80" spans="2:32">
      <c r="B80" s="167"/>
      <c r="C80" s="168"/>
      <c r="D80" s="117"/>
      <c r="E80" s="299"/>
      <c r="F80" s="119"/>
      <c r="G80" s="482"/>
      <c r="H80" s="587"/>
      <c r="I80" s="300" t="str">
        <f>IF(ISBLANK(H80),"",IF(H80&lt;Beregningsperiode,Beregningsperiode/'Inndata Bygg'!H80-1,0))</f>
        <v/>
      </c>
      <c r="J80" s="120" t="str">
        <f t="shared" si="1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71"/>
      <c r="AC80" s="171"/>
      <c r="AD80" s="171"/>
      <c r="AE80" s="171"/>
      <c r="AF80" s="124"/>
    </row>
    <row r="81" spans="2:32">
      <c r="B81" s="167"/>
      <c r="C81" s="168"/>
      <c r="D81" s="117"/>
      <c r="E81" s="299"/>
      <c r="F81" s="119"/>
      <c r="G81" s="482"/>
      <c r="H81" s="587"/>
      <c r="I81" s="300" t="str">
        <f>IF(ISBLANK(H81),"",IF(H81&lt;Beregningsperiode,Beregningsperiode/'Inndata Bygg'!H81-1,0))</f>
        <v/>
      </c>
      <c r="J81" s="120" t="str">
        <f t="shared" ref="J81:J144" si="2">IF(ISBLANK(H81),"",G81*I81)</f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71"/>
      <c r="AC81" s="171"/>
      <c r="AD81" s="171"/>
      <c r="AE81" s="171"/>
      <c r="AF81" s="124"/>
    </row>
    <row r="82" spans="2:32">
      <c r="B82" s="167"/>
      <c r="C82" s="168"/>
      <c r="D82" s="117"/>
      <c r="E82" s="299"/>
      <c r="F82" s="119"/>
      <c r="G82" s="482"/>
      <c r="H82" s="587"/>
      <c r="I82" s="300" t="str">
        <f>IF(ISBLANK(H82),"",IF(H82&lt;Beregningsperiode,Beregningsperiode/'Inndata Bygg'!H82-1,0))</f>
        <v/>
      </c>
      <c r="J82" s="120" t="str">
        <f t="shared" si="2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71"/>
      <c r="AC82" s="171"/>
      <c r="AD82" s="171"/>
      <c r="AE82" s="171"/>
      <c r="AF82" s="124"/>
    </row>
    <row r="83" spans="2:32">
      <c r="B83" s="167"/>
      <c r="C83" s="168"/>
      <c r="D83" s="117"/>
      <c r="E83" s="299"/>
      <c r="F83" s="119"/>
      <c r="G83" s="482"/>
      <c r="H83" s="587"/>
      <c r="I83" s="300" t="str">
        <f>IF(ISBLANK(H83),"",IF(H83&lt;Beregningsperiode,Beregningsperiode/'Inndata Bygg'!H83-1,0))</f>
        <v/>
      </c>
      <c r="J83" s="120" t="str">
        <f t="shared" si="2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71"/>
      <c r="AC83" s="171"/>
      <c r="AD83" s="171"/>
      <c r="AE83" s="171"/>
      <c r="AF83" s="124"/>
    </row>
    <row r="84" spans="2:32">
      <c r="B84" s="167"/>
      <c r="C84" s="168"/>
      <c r="D84" s="117"/>
      <c r="E84" s="299"/>
      <c r="F84" s="119"/>
      <c r="G84" s="482"/>
      <c r="H84" s="587"/>
      <c r="I84" s="300" t="str">
        <f>IF(ISBLANK(H84),"",IF(H84&lt;Beregningsperiode,Beregningsperiode/'Inndata Bygg'!H84-1,0))</f>
        <v/>
      </c>
      <c r="J84" s="120" t="str">
        <f t="shared" si="2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71"/>
      <c r="AC84" s="171"/>
      <c r="AD84" s="171"/>
      <c r="AE84" s="171"/>
      <c r="AF84" s="124"/>
    </row>
    <row r="85" spans="2:32">
      <c r="B85" s="167"/>
      <c r="C85" s="168"/>
      <c r="D85" s="117"/>
      <c r="E85" s="299"/>
      <c r="F85" s="119"/>
      <c r="G85" s="482"/>
      <c r="H85" s="587"/>
      <c r="I85" s="300" t="str">
        <f>IF(ISBLANK(H85),"",IF(H85&lt;Beregningsperiode,Beregningsperiode/'Inndata Bygg'!H85-1,0))</f>
        <v/>
      </c>
      <c r="J85" s="120" t="str">
        <f t="shared" si="2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71"/>
      <c r="AC85" s="171"/>
      <c r="AD85" s="171"/>
      <c r="AE85" s="171"/>
      <c r="AF85" s="124"/>
    </row>
    <row r="86" spans="2:32">
      <c r="B86" s="167"/>
      <c r="C86" s="168"/>
      <c r="D86" s="117"/>
      <c r="E86" s="299"/>
      <c r="F86" s="119"/>
      <c r="G86" s="482"/>
      <c r="H86" s="587"/>
      <c r="I86" s="300" t="str">
        <f>IF(ISBLANK(H86),"",IF(H86&lt;Beregningsperiode,Beregningsperiode/'Inndata Bygg'!H86-1,0))</f>
        <v/>
      </c>
      <c r="J86" s="120" t="str">
        <f t="shared" si="2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71"/>
      <c r="AC86" s="171"/>
      <c r="AD86" s="171"/>
      <c r="AE86" s="171"/>
      <c r="AF86" s="124"/>
    </row>
    <row r="87" spans="2:32">
      <c r="B87" s="167"/>
      <c r="C87" s="168"/>
      <c r="D87" s="117"/>
      <c r="E87" s="299"/>
      <c r="F87" s="119"/>
      <c r="G87" s="482"/>
      <c r="H87" s="587"/>
      <c r="I87" s="300" t="str">
        <f>IF(ISBLANK(H87),"",IF(H87&lt;Beregningsperiode,Beregningsperiode/'Inndata Bygg'!H87-1,0))</f>
        <v/>
      </c>
      <c r="J87" s="120" t="str">
        <f t="shared" si="2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71"/>
      <c r="AC87" s="171"/>
      <c r="AD87" s="171"/>
      <c r="AE87" s="171"/>
      <c r="AF87" s="124"/>
    </row>
    <row r="88" spans="2:32">
      <c r="B88" s="167"/>
      <c r="C88" s="168"/>
      <c r="D88" s="117"/>
      <c r="E88" s="299"/>
      <c r="F88" s="119"/>
      <c r="G88" s="482"/>
      <c r="H88" s="587"/>
      <c r="I88" s="300" t="str">
        <f>IF(ISBLANK(H88),"",IF(H88&lt;Beregningsperiode,Beregningsperiode/'Inndata Bygg'!H88-1,0))</f>
        <v/>
      </c>
      <c r="J88" s="120" t="str">
        <f t="shared" si="2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71"/>
      <c r="AC88" s="171"/>
      <c r="AD88" s="171"/>
      <c r="AE88" s="171"/>
      <c r="AF88" s="124"/>
    </row>
    <row r="89" spans="2:32">
      <c r="B89" s="167"/>
      <c r="C89" s="168"/>
      <c r="D89" s="117"/>
      <c r="E89" s="299"/>
      <c r="F89" s="119"/>
      <c r="G89" s="482"/>
      <c r="H89" s="587"/>
      <c r="I89" s="300" t="str">
        <f>IF(ISBLANK(H89),"",IF(H89&lt;Beregningsperiode,Beregningsperiode/'Inndata Bygg'!H89-1,0))</f>
        <v/>
      </c>
      <c r="J89" s="120" t="str">
        <f t="shared" si="2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71"/>
      <c r="AC89" s="171"/>
      <c r="AD89" s="171"/>
      <c r="AE89" s="171"/>
      <c r="AF89" s="124"/>
    </row>
    <row r="90" spans="2:32">
      <c r="B90" s="167"/>
      <c r="C90" s="168"/>
      <c r="D90" s="117"/>
      <c r="E90" s="299"/>
      <c r="F90" s="119"/>
      <c r="G90" s="482"/>
      <c r="H90" s="587"/>
      <c r="I90" s="300" t="str">
        <f>IF(ISBLANK(H90),"",IF(H90&lt;Beregningsperiode,Beregningsperiode/'Inndata Bygg'!H90-1,0))</f>
        <v/>
      </c>
      <c r="J90" s="120" t="str">
        <f t="shared" si="2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71"/>
      <c r="AC90" s="171"/>
      <c r="AD90" s="171"/>
      <c r="AE90" s="171"/>
      <c r="AF90" s="124"/>
    </row>
    <row r="91" spans="2:32">
      <c r="B91" s="167"/>
      <c r="C91" s="168"/>
      <c r="D91" s="117"/>
      <c r="E91" s="299"/>
      <c r="F91" s="119"/>
      <c r="G91" s="482"/>
      <c r="H91" s="587"/>
      <c r="I91" s="300" t="str">
        <f>IF(ISBLANK(H91),"",IF(H91&lt;Beregningsperiode,Beregningsperiode/'Inndata Bygg'!H91-1,0))</f>
        <v/>
      </c>
      <c r="J91" s="120" t="str">
        <f t="shared" si="2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71"/>
      <c r="AC91" s="171"/>
      <c r="AD91" s="171"/>
      <c r="AE91" s="171"/>
      <c r="AF91" s="124"/>
    </row>
    <row r="92" spans="2:32">
      <c r="B92" s="167"/>
      <c r="C92" s="168"/>
      <c r="D92" s="117"/>
      <c r="E92" s="299"/>
      <c r="F92" s="119"/>
      <c r="G92" s="482"/>
      <c r="H92" s="587"/>
      <c r="I92" s="300" t="str">
        <f>IF(ISBLANK(H92),"",IF(H92&lt;Beregningsperiode,Beregningsperiode/'Inndata Bygg'!H92-1,0))</f>
        <v/>
      </c>
      <c r="J92" s="120" t="str">
        <f t="shared" si="2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71"/>
      <c r="AC92" s="171"/>
      <c r="AD92" s="171"/>
      <c r="AE92" s="171"/>
      <c r="AF92" s="124"/>
    </row>
    <row r="93" spans="2:32">
      <c r="B93" s="167"/>
      <c r="C93" s="168"/>
      <c r="D93" s="117"/>
      <c r="E93" s="299"/>
      <c r="F93" s="119"/>
      <c r="G93" s="482"/>
      <c r="H93" s="587"/>
      <c r="I93" s="300" t="str">
        <f>IF(ISBLANK(H93),"",IF(H93&lt;Beregningsperiode,Beregningsperiode/'Inndata Bygg'!H93-1,0))</f>
        <v/>
      </c>
      <c r="J93" s="120" t="str">
        <f t="shared" si="2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71"/>
      <c r="AC93" s="171"/>
      <c r="AD93" s="171"/>
      <c r="AE93" s="171"/>
      <c r="AF93" s="124"/>
    </row>
    <row r="94" spans="2:32">
      <c r="B94" s="167"/>
      <c r="C94" s="168"/>
      <c r="D94" s="117"/>
      <c r="E94" s="299"/>
      <c r="F94" s="119"/>
      <c r="G94" s="482"/>
      <c r="H94" s="587"/>
      <c r="I94" s="300" t="str">
        <f>IF(ISBLANK(H94),"",IF(H94&lt;Beregningsperiode,Beregningsperiode/'Inndata Bygg'!H94-1,0))</f>
        <v/>
      </c>
      <c r="J94" s="120" t="str">
        <f t="shared" si="2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71"/>
      <c r="AC94" s="171"/>
      <c r="AD94" s="171"/>
      <c r="AE94" s="171"/>
      <c r="AF94" s="124"/>
    </row>
    <row r="95" spans="2:32">
      <c r="B95" s="167"/>
      <c r="C95" s="168"/>
      <c r="D95" s="117"/>
      <c r="E95" s="299"/>
      <c r="F95" s="119"/>
      <c r="G95" s="482"/>
      <c r="H95" s="587"/>
      <c r="I95" s="300" t="str">
        <f>IF(ISBLANK(H95),"",IF(H95&lt;Beregningsperiode,Beregningsperiode/'Inndata Bygg'!H95-1,0))</f>
        <v/>
      </c>
      <c r="J95" s="120" t="str">
        <f t="shared" si="2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71"/>
      <c r="AC95" s="171"/>
      <c r="AD95" s="171"/>
      <c r="AE95" s="171"/>
      <c r="AF95" s="124"/>
    </row>
    <row r="96" spans="2:32">
      <c r="B96" s="167"/>
      <c r="C96" s="168"/>
      <c r="D96" s="117"/>
      <c r="E96" s="299"/>
      <c r="F96" s="119"/>
      <c r="G96" s="482"/>
      <c r="H96" s="587"/>
      <c r="I96" s="300" t="str">
        <f>IF(ISBLANK(H96),"",IF(H96&lt;Beregningsperiode,Beregningsperiode/'Inndata Bygg'!H96-1,0))</f>
        <v/>
      </c>
      <c r="J96" s="120" t="str">
        <f t="shared" si="2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71"/>
      <c r="AC96" s="171"/>
      <c r="AD96" s="171"/>
      <c r="AE96" s="171"/>
      <c r="AF96" s="124"/>
    </row>
    <row r="97" spans="2:32">
      <c r="B97" s="167"/>
      <c r="C97" s="168"/>
      <c r="D97" s="117"/>
      <c r="E97" s="299"/>
      <c r="F97" s="119"/>
      <c r="G97" s="482"/>
      <c r="H97" s="587"/>
      <c r="I97" s="300" t="str">
        <f>IF(ISBLANK(H97),"",IF(H97&lt;Beregningsperiode,Beregningsperiode/'Inndata Bygg'!H97-1,0))</f>
        <v/>
      </c>
      <c r="J97" s="120" t="str">
        <f t="shared" si="2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71"/>
      <c r="AC97" s="171"/>
      <c r="AD97" s="171"/>
      <c r="AE97" s="171"/>
      <c r="AF97" s="124"/>
    </row>
    <row r="98" spans="2:32">
      <c r="B98" s="167"/>
      <c r="C98" s="168"/>
      <c r="D98" s="117"/>
      <c r="E98" s="299"/>
      <c r="F98" s="119"/>
      <c r="G98" s="482"/>
      <c r="H98" s="587"/>
      <c r="I98" s="300" t="str">
        <f>IF(ISBLANK(H98),"",IF(H98&lt;Beregningsperiode,Beregningsperiode/'Inndata Bygg'!H98-1,0))</f>
        <v/>
      </c>
      <c r="J98" s="120" t="str">
        <f t="shared" si="2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71"/>
      <c r="AC98" s="171"/>
      <c r="AD98" s="171"/>
      <c r="AE98" s="171"/>
      <c r="AF98" s="124"/>
    </row>
    <row r="99" spans="2:32">
      <c r="B99" s="167"/>
      <c r="C99" s="168"/>
      <c r="D99" s="117"/>
      <c r="E99" s="299"/>
      <c r="F99" s="119"/>
      <c r="G99" s="482"/>
      <c r="H99" s="587"/>
      <c r="I99" s="300" t="str">
        <f>IF(ISBLANK(H99),"",IF(H99&lt;Beregningsperiode,Beregningsperiode/'Inndata Bygg'!H99-1,0))</f>
        <v/>
      </c>
      <c r="J99" s="120" t="str">
        <f t="shared" si="2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71"/>
      <c r="AC99" s="171"/>
      <c r="AD99" s="171"/>
      <c r="AE99" s="171"/>
      <c r="AF99" s="124"/>
    </row>
    <row r="100" spans="2:32">
      <c r="B100" s="167"/>
      <c r="C100" s="168"/>
      <c r="D100" s="117"/>
      <c r="E100" s="299"/>
      <c r="F100" s="119"/>
      <c r="G100" s="482"/>
      <c r="H100" s="587"/>
      <c r="I100" s="300" t="str">
        <f>IF(ISBLANK(H100),"",IF(H100&lt;Beregningsperiode,Beregningsperiode/'Inndata Bygg'!H100-1,0))</f>
        <v/>
      </c>
      <c r="J100" s="120" t="str">
        <f t="shared" si="2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71"/>
      <c r="AC100" s="171"/>
      <c r="AD100" s="171"/>
      <c r="AE100" s="171"/>
      <c r="AF100" s="124"/>
    </row>
    <row r="101" spans="2:32">
      <c r="B101" s="167"/>
      <c r="C101" s="168"/>
      <c r="D101" s="117"/>
      <c r="E101" s="299"/>
      <c r="F101" s="119"/>
      <c r="G101" s="482"/>
      <c r="H101" s="587"/>
      <c r="I101" s="300" t="str">
        <f>IF(ISBLANK(H101),"",IF(H101&lt;Beregningsperiode,Beregningsperiode/'Inndata Bygg'!H101-1,0))</f>
        <v/>
      </c>
      <c r="J101" s="120" t="str">
        <f t="shared" si="2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71"/>
      <c r="AC101" s="171"/>
      <c r="AD101" s="171"/>
      <c r="AE101" s="171"/>
      <c r="AF101" s="124"/>
    </row>
    <row r="102" spans="2:32">
      <c r="B102" s="167"/>
      <c r="C102" s="168"/>
      <c r="D102" s="117"/>
      <c r="E102" s="299"/>
      <c r="F102" s="119"/>
      <c r="G102" s="482"/>
      <c r="H102" s="587"/>
      <c r="I102" s="300" t="str">
        <f>IF(ISBLANK(H102),"",IF(H102&lt;Beregningsperiode,Beregningsperiode/'Inndata Bygg'!H102-1,0))</f>
        <v/>
      </c>
      <c r="J102" s="120" t="str">
        <f t="shared" si="2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71"/>
      <c r="AC102" s="171"/>
      <c r="AD102" s="171"/>
      <c r="AE102" s="171"/>
      <c r="AF102" s="124"/>
    </row>
    <row r="103" spans="2:32">
      <c r="B103" s="167"/>
      <c r="C103" s="168"/>
      <c r="D103" s="117"/>
      <c r="E103" s="299"/>
      <c r="F103" s="119"/>
      <c r="G103" s="482"/>
      <c r="H103" s="587"/>
      <c r="I103" s="300" t="str">
        <f>IF(ISBLANK(H103),"",IF(H103&lt;Beregningsperiode,Beregningsperiode/'Inndata Bygg'!H103-1,0))</f>
        <v/>
      </c>
      <c r="J103" s="120" t="str">
        <f t="shared" si="2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71"/>
      <c r="AC103" s="171"/>
      <c r="AD103" s="171"/>
      <c r="AE103" s="171"/>
      <c r="AF103" s="124"/>
    </row>
    <row r="104" spans="2:32">
      <c r="B104" s="167"/>
      <c r="C104" s="168"/>
      <c r="D104" s="117"/>
      <c r="E104" s="299"/>
      <c r="F104" s="119"/>
      <c r="G104" s="482"/>
      <c r="H104" s="587"/>
      <c r="I104" s="300" t="str">
        <f>IF(ISBLANK(H104),"",IF(H104&lt;Beregningsperiode,Beregningsperiode/'Inndata Bygg'!H104-1,0))</f>
        <v/>
      </c>
      <c r="J104" s="120" t="str">
        <f t="shared" si="2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71"/>
      <c r="AC104" s="171"/>
      <c r="AD104" s="171"/>
      <c r="AE104" s="171"/>
      <c r="AF104" s="124"/>
    </row>
    <row r="105" spans="2:32">
      <c r="B105" s="167"/>
      <c r="C105" s="168"/>
      <c r="D105" s="117"/>
      <c r="E105" s="299"/>
      <c r="F105" s="119"/>
      <c r="G105" s="482"/>
      <c r="H105" s="587"/>
      <c r="I105" s="300" t="str">
        <f>IF(ISBLANK(H105),"",IF(H105&lt;Beregningsperiode,Beregningsperiode/'Inndata Bygg'!H105-1,0))</f>
        <v/>
      </c>
      <c r="J105" s="120" t="str">
        <f t="shared" si="2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71"/>
      <c r="AC105" s="171"/>
      <c r="AD105" s="171"/>
      <c r="AE105" s="171"/>
      <c r="AF105" s="124"/>
    </row>
    <row r="106" spans="2:32">
      <c r="B106" s="167"/>
      <c r="C106" s="168"/>
      <c r="D106" s="117"/>
      <c r="E106" s="299"/>
      <c r="F106" s="119"/>
      <c r="G106" s="482"/>
      <c r="H106" s="587"/>
      <c r="I106" s="300" t="str">
        <f>IF(ISBLANK(H106),"",IF(H106&lt;Beregningsperiode,Beregningsperiode/'Inndata Bygg'!H106-1,0))</f>
        <v/>
      </c>
      <c r="J106" s="120" t="str">
        <f t="shared" si="2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71"/>
      <c r="AC106" s="171"/>
      <c r="AD106" s="171"/>
      <c r="AE106" s="171"/>
      <c r="AF106" s="124"/>
    </row>
    <row r="107" spans="2:32">
      <c r="B107" s="167"/>
      <c r="C107" s="168"/>
      <c r="D107" s="117"/>
      <c r="E107" s="299"/>
      <c r="F107" s="119"/>
      <c r="G107" s="482"/>
      <c r="H107" s="587"/>
      <c r="I107" s="300" t="str">
        <f>IF(ISBLANK(H107),"",IF(H107&lt;Beregningsperiode,Beregningsperiode/'Inndata Bygg'!H107-1,0))</f>
        <v/>
      </c>
      <c r="J107" s="120" t="str">
        <f t="shared" si="2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71"/>
      <c r="AC107" s="171"/>
      <c r="AD107" s="171"/>
      <c r="AE107" s="171"/>
      <c r="AF107" s="124"/>
    </row>
    <row r="108" spans="2:32">
      <c r="B108" s="167"/>
      <c r="C108" s="168"/>
      <c r="D108" s="117"/>
      <c r="E108" s="299"/>
      <c r="F108" s="119"/>
      <c r="G108" s="482"/>
      <c r="H108" s="587"/>
      <c r="I108" s="300" t="str">
        <f>IF(ISBLANK(H108),"",IF(H108&lt;Beregningsperiode,Beregningsperiode/'Inndata Bygg'!H108-1,0))</f>
        <v/>
      </c>
      <c r="J108" s="120" t="str">
        <f t="shared" si="2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71"/>
      <c r="AC108" s="171"/>
      <c r="AD108" s="171"/>
      <c r="AE108" s="171"/>
      <c r="AF108" s="124"/>
    </row>
    <row r="109" spans="2:32">
      <c r="B109" s="167"/>
      <c r="C109" s="168"/>
      <c r="D109" s="117"/>
      <c r="E109" s="299"/>
      <c r="F109" s="119"/>
      <c r="G109" s="482"/>
      <c r="H109" s="587"/>
      <c r="I109" s="300" t="str">
        <f>IF(ISBLANK(H109),"",IF(H109&lt;Beregningsperiode,Beregningsperiode/'Inndata Bygg'!H109-1,0))</f>
        <v/>
      </c>
      <c r="J109" s="120" t="str">
        <f t="shared" si="2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71"/>
      <c r="AC109" s="171"/>
      <c r="AD109" s="171"/>
      <c r="AE109" s="171"/>
      <c r="AF109" s="124"/>
    </row>
    <row r="110" spans="2:32">
      <c r="B110" s="167"/>
      <c r="C110" s="168"/>
      <c r="D110" s="117"/>
      <c r="E110" s="299"/>
      <c r="F110" s="119"/>
      <c r="G110" s="482"/>
      <c r="H110" s="587"/>
      <c r="I110" s="300" t="str">
        <f>IF(ISBLANK(H110),"",IF(H110&lt;Beregningsperiode,Beregningsperiode/'Inndata Bygg'!H110-1,0))</f>
        <v/>
      </c>
      <c r="J110" s="120" t="str">
        <f t="shared" si="2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71"/>
      <c r="AC110" s="171"/>
      <c r="AD110" s="171"/>
      <c r="AE110" s="171"/>
      <c r="AF110" s="124"/>
    </row>
    <row r="111" spans="2:32">
      <c r="B111" s="167"/>
      <c r="C111" s="168"/>
      <c r="D111" s="117"/>
      <c r="E111" s="299"/>
      <c r="F111" s="119"/>
      <c r="G111" s="482"/>
      <c r="H111" s="587"/>
      <c r="I111" s="300" t="str">
        <f>IF(ISBLANK(H111),"",IF(H111&lt;Beregningsperiode,Beregningsperiode/'Inndata Bygg'!H111-1,0))</f>
        <v/>
      </c>
      <c r="J111" s="120" t="str">
        <f t="shared" si="2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71"/>
      <c r="AC111" s="171"/>
      <c r="AD111" s="171"/>
      <c r="AE111" s="171"/>
      <c r="AF111" s="124"/>
    </row>
    <row r="112" spans="2:32">
      <c r="B112" s="167"/>
      <c r="C112" s="168"/>
      <c r="D112" s="117"/>
      <c r="E112" s="299"/>
      <c r="F112" s="119"/>
      <c r="G112" s="482"/>
      <c r="H112" s="587"/>
      <c r="I112" s="300" t="str">
        <f>IF(ISBLANK(H112),"",IF(H112&lt;Beregningsperiode,Beregningsperiode/'Inndata Bygg'!H112-1,0))</f>
        <v/>
      </c>
      <c r="J112" s="120" t="str">
        <f t="shared" si="2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71"/>
      <c r="AC112" s="171"/>
      <c r="AD112" s="171"/>
      <c r="AE112" s="171"/>
      <c r="AF112" s="124"/>
    </row>
    <row r="113" spans="2:32">
      <c r="B113" s="167"/>
      <c r="C113" s="168"/>
      <c r="D113" s="117"/>
      <c r="E113" s="299"/>
      <c r="F113" s="119"/>
      <c r="G113" s="482"/>
      <c r="H113" s="587"/>
      <c r="I113" s="300" t="str">
        <f>IF(ISBLANK(H113),"",IF(H113&lt;Beregningsperiode,Beregningsperiode/'Inndata Bygg'!H113-1,0))</f>
        <v/>
      </c>
      <c r="J113" s="120" t="str">
        <f t="shared" si="2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71"/>
      <c r="AC113" s="171"/>
      <c r="AD113" s="171"/>
      <c r="AE113" s="171"/>
      <c r="AF113" s="124"/>
    </row>
    <row r="114" spans="2:32">
      <c r="B114" s="167"/>
      <c r="C114" s="168"/>
      <c r="D114" s="117"/>
      <c r="E114" s="299"/>
      <c r="F114" s="119"/>
      <c r="G114" s="482"/>
      <c r="H114" s="587"/>
      <c r="I114" s="300" t="str">
        <f>IF(ISBLANK(H114),"",IF(H114&lt;Beregningsperiode,Beregningsperiode/'Inndata Bygg'!H114-1,0))</f>
        <v/>
      </c>
      <c r="J114" s="120" t="str">
        <f t="shared" si="2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71"/>
      <c r="AC114" s="171"/>
      <c r="AD114" s="171"/>
      <c r="AE114" s="171"/>
      <c r="AF114" s="124"/>
    </row>
    <row r="115" spans="2:32">
      <c r="B115" s="167"/>
      <c r="C115" s="168"/>
      <c r="D115" s="117"/>
      <c r="E115" s="299"/>
      <c r="F115" s="119"/>
      <c r="G115" s="482"/>
      <c r="H115" s="587"/>
      <c r="I115" s="300" t="str">
        <f>IF(ISBLANK(H115),"",IF(H115&lt;Beregningsperiode,Beregningsperiode/'Inndata Bygg'!H115-1,0))</f>
        <v/>
      </c>
      <c r="J115" s="120" t="str">
        <f t="shared" si="2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71"/>
      <c r="AC115" s="171"/>
      <c r="AD115" s="171"/>
      <c r="AE115" s="171"/>
      <c r="AF115" s="124"/>
    </row>
    <row r="116" spans="2:32">
      <c r="B116" s="167"/>
      <c r="C116" s="168"/>
      <c r="D116" s="117"/>
      <c r="E116" s="299"/>
      <c r="F116" s="119"/>
      <c r="G116" s="482"/>
      <c r="H116" s="587"/>
      <c r="I116" s="300" t="str">
        <f>IF(ISBLANK(H116),"",IF(H116&lt;Beregningsperiode,Beregningsperiode/'Inndata Bygg'!H116-1,0))</f>
        <v/>
      </c>
      <c r="J116" s="120" t="str">
        <f t="shared" si="2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71"/>
      <c r="AC116" s="171"/>
      <c r="AD116" s="171"/>
      <c r="AE116" s="171"/>
      <c r="AF116" s="124"/>
    </row>
    <row r="117" spans="2:32">
      <c r="B117" s="167"/>
      <c r="C117" s="168"/>
      <c r="D117" s="117"/>
      <c r="E117" s="299"/>
      <c r="F117" s="119"/>
      <c r="G117" s="482"/>
      <c r="H117" s="587"/>
      <c r="I117" s="300" t="str">
        <f>IF(ISBLANK(H117),"",IF(H117&lt;Beregningsperiode,Beregningsperiode/'Inndata Bygg'!H117-1,0))</f>
        <v/>
      </c>
      <c r="J117" s="120" t="str">
        <f t="shared" si="2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71"/>
      <c r="AC117" s="171"/>
      <c r="AD117" s="171"/>
      <c r="AE117" s="171"/>
      <c r="AF117" s="124"/>
    </row>
    <row r="118" spans="2:32">
      <c r="B118" s="167"/>
      <c r="C118" s="168"/>
      <c r="D118" s="117"/>
      <c r="E118" s="299"/>
      <c r="F118" s="119"/>
      <c r="G118" s="482"/>
      <c r="H118" s="587"/>
      <c r="I118" s="300" t="str">
        <f>IF(ISBLANK(H118),"",IF(H118&lt;Beregningsperiode,Beregningsperiode/'Inndata Bygg'!H118-1,0))</f>
        <v/>
      </c>
      <c r="J118" s="120" t="str">
        <f t="shared" si="2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71"/>
      <c r="AC118" s="171"/>
      <c r="AD118" s="171"/>
      <c r="AE118" s="171"/>
      <c r="AF118" s="124"/>
    </row>
    <row r="119" spans="2:32">
      <c r="B119" s="167"/>
      <c r="C119" s="168"/>
      <c r="D119" s="117"/>
      <c r="E119" s="299"/>
      <c r="F119" s="119"/>
      <c r="G119" s="482"/>
      <c r="H119" s="587"/>
      <c r="I119" s="300" t="str">
        <f>IF(ISBLANK(H119),"",IF(H119&lt;Beregningsperiode,Beregningsperiode/'Inndata Bygg'!H119-1,0))</f>
        <v/>
      </c>
      <c r="J119" s="120" t="str">
        <f t="shared" si="2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71"/>
      <c r="AC119" s="171"/>
      <c r="AD119" s="171"/>
      <c r="AE119" s="171"/>
      <c r="AF119" s="124"/>
    </row>
    <row r="120" spans="2:32">
      <c r="B120" s="167"/>
      <c r="C120" s="168"/>
      <c r="D120" s="117"/>
      <c r="E120" s="299"/>
      <c r="F120" s="119"/>
      <c r="G120" s="482"/>
      <c r="H120" s="587"/>
      <c r="I120" s="300" t="str">
        <f>IF(ISBLANK(H120),"",IF(H120&lt;Beregningsperiode,Beregningsperiode/'Inndata Bygg'!H120-1,0))</f>
        <v/>
      </c>
      <c r="J120" s="120" t="str">
        <f t="shared" si="2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71"/>
      <c r="AC120" s="171"/>
      <c r="AD120" s="171"/>
      <c r="AE120" s="171"/>
      <c r="AF120" s="124"/>
    </row>
    <row r="121" spans="2:32">
      <c r="B121" s="167"/>
      <c r="C121" s="168"/>
      <c r="D121" s="117"/>
      <c r="E121" s="299"/>
      <c r="F121" s="119"/>
      <c r="G121" s="482"/>
      <c r="H121" s="587"/>
      <c r="I121" s="300" t="str">
        <f>IF(ISBLANK(H121),"",IF(H121&lt;Beregningsperiode,Beregningsperiode/'Inndata Bygg'!H121-1,0))</f>
        <v/>
      </c>
      <c r="J121" s="120" t="str">
        <f t="shared" si="2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71"/>
      <c r="AC121" s="171"/>
      <c r="AD121" s="171"/>
      <c r="AE121" s="171"/>
      <c r="AF121" s="124"/>
    </row>
    <row r="122" spans="2:32">
      <c r="B122" s="167"/>
      <c r="C122" s="168"/>
      <c r="D122" s="117"/>
      <c r="E122" s="299"/>
      <c r="F122" s="119"/>
      <c r="G122" s="482"/>
      <c r="H122" s="587"/>
      <c r="I122" s="300" t="str">
        <f>IF(ISBLANK(H122),"",IF(H122&lt;Beregningsperiode,Beregningsperiode/'Inndata Bygg'!H122-1,0))</f>
        <v/>
      </c>
      <c r="J122" s="120" t="str">
        <f t="shared" si="2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71"/>
      <c r="AC122" s="171"/>
      <c r="AD122" s="171"/>
      <c r="AE122" s="171"/>
      <c r="AF122" s="124"/>
    </row>
    <row r="123" spans="2:32">
      <c r="B123" s="167"/>
      <c r="C123" s="168"/>
      <c r="D123" s="117"/>
      <c r="E123" s="299"/>
      <c r="F123" s="119"/>
      <c r="G123" s="482"/>
      <c r="H123" s="587"/>
      <c r="I123" s="300" t="str">
        <f>IF(ISBLANK(H123),"",IF(H123&lt;Beregningsperiode,Beregningsperiode/'Inndata Bygg'!H123-1,0))</f>
        <v/>
      </c>
      <c r="J123" s="120" t="str">
        <f t="shared" si="2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71"/>
      <c r="AC123" s="171"/>
      <c r="AD123" s="171"/>
      <c r="AE123" s="171"/>
      <c r="AF123" s="124"/>
    </row>
    <row r="124" spans="2:32">
      <c r="B124" s="167"/>
      <c r="C124" s="168"/>
      <c r="D124" s="117"/>
      <c r="E124" s="299"/>
      <c r="F124" s="119"/>
      <c r="G124" s="482"/>
      <c r="H124" s="587"/>
      <c r="I124" s="300" t="str">
        <f>IF(ISBLANK(H124),"",IF(H124&lt;Beregningsperiode,Beregningsperiode/'Inndata Bygg'!H124-1,0))</f>
        <v/>
      </c>
      <c r="J124" s="120" t="str">
        <f t="shared" si="2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71"/>
      <c r="AC124" s="171"/>
      <c r="AD124" s="171"/>
      <c r="AE124" s="171"/>
      <c r="AF124" s="124"/>
    </row>
    <row r="125" spans="2:32">
      <c r="B125" s="167"/>
      <c r="C125" s="168"/>
      <c r="D125" s="117"/>
      <c r="E125" s="299"/>
      <c r="F125" s="119"/>
      <c r="G125" s="482"/>
      <c r="H125" s="587"/>
      <c r="I125" s="300" t="str">
        <f>IF(ISBLANK(H125),"",IF(H125&lt;Beregningsperiode,Beregningsperiode/'Inndata Bygg'!H125-1,0))</f>
        <v/>
      </c>
      <c r="J125" s="120" t="str">
        <f t="shared" si="2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71"/>
      <c r="AC125" s="171"/>
      <c r="AD125" s="171"/>
      <c r="AE125" s="171"/>
      <c r="AF125" s="124"/>
    </row>
    <row r="126" spans="2:32">
      <c r="B126" s="167"/>
      <c r="C126" s="168"/>
      <c r="D126" s="117"/>
      <c r="E126" s="299"/>
      <c r="F126" s="119"/>
      <c r="G126" s="482"/>
      <c r="H126" s="587"/>
      <c r="I126" s="300" t="str">
        <f>IF(ISBLANK(H126),"",IF(H126&lt;Beregningsperiode,Beregningsperiode/'Inndata Bygg'!H126-1,0))</f>
        <v/>
      </c>
      <c r="J126" s="120" t="str">
        <f t="shared" si="2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71"/>
      <c r="AC126" s="171"/>
      <c r="AD126" s="171"/>
      <c r="AE126" s="171"/>
      <c r="AF126" s="124"/>
    </row>
    <row r="127" spans="2:32">
      <c r="B127" s="167"/>
      <c r="C127" s="168"/>
      <c r="D127" s="117"/>
      <c r="E127" s="299"/>
      <c r="F127" s="119"/>
      <c r="G127" s="482"/>
      <c r="H127" s="587"/>
      <c r="I127" s="300" t="str">
        <f>IF(ISBLANK(H127),"",IF(H127&lt;Beregningsperiode,Beregningsperiode/'Inndata Bygg'!H127-1,0))</f>
        <v/>
      </c>
      <c r="J127" s="120" t="str">
        <f t="shared" si="2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71"/>
      <c r="AC127" s="171"/>
      <c r="AD127" s="171"/>
      <c r="AE127" s="171"/>
      <c r="AF127" s="124"/>
    </row>
    <row r="128" spans="2:32">
      <c r="B128" s="167"/>
      <c r="C128" s="168"/>
      <c r="D128" s="117"/>
      <c r="E128" s="299"/>
      <c r="F128" s="119"/>
      <c r="G128" s="482"/>
      <c r="H128" s="587"/>
      <c r="I128" s="300" t="str">
        <f>IF(ISBLANK(H128),"",IF(H128&lt;Beregningsperiode,Beregningsperiode/'Inndata Bygg'!H128-1,0))</f>
        <v/>
      </c>
      <c r="J128" s="120" t="str">
        <f t="shared" si="2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71"/>
      <c r="AC128" s="171"/>
      <c r="AD128" s="171"/>
      <c r="AE128" s="171"/>
      <c r="AF128" s="124"/>
    </row>
    <row r="129" spans="2:32">
      <c r="B129" s="167"/>
      <c r="C129" s="168"/>
      <c r="D129" s="117"/>
      <c r="E129" s="299"/>
      <c r="F129" s="119"/>
      <c r="G129" s="482"/>
      <c r="H129" s="587"/>
      <c r="I129" s="300" t="str">
        <f>IF(ISBLANK(H129),"",IF(H129&lt;Beregningsperiode,Beregningsperiode/'Inndata Bygg'!H129-1,0))</f>
        <v/>
      </c>
      <c r="J129" s="120" t="str">
        <f t="shared" si="2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71"/>
      <c r="AC129" s="171"/>
      <c r="AD129" s="171"/>
      <c r="AE129" s="171"/>
      <c r="AF129" s="124"/>
    </row>
    <row r="130" spans="2:32">
      <c r="B130" s="167"/>
      <c r="C130" s="168"/>
      <c r="D130" s="117"/>
      <c r="E130" s="299"/>
      <c r="F130" s="119"/>
      <c r="G130" s="482"/>
      <c r="H130" s="587"/>
      <c r="I130" s="300" t="str">
        <f>IF(ISBLANK(H130),"",IF(H130&lt;Beregningsperiode,Beregningsperiode/'Inndata Bygg'!H130-1,0))</f>
        <v/>
      </c>
      <c r="J130" s="120" t="str">
        <f t="shared" si="2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71"/>
      <c r="AC130" s="171"/>
      <c r="AD130" s="171"/>
      <c r="AE130" s="171"/>
      <c r="AF130" s="124"/>
    </row>
    <row r="131" spans="2:32">
      <c r="B131" s="167"/>
      <c r="C131" s="168"/>
      <c r="D131" s="117"/>
      <c r="E131" s="299"/>
      <c r="F131" s="119"/>
      <c r="G131" s="482"/>
      <c r="H131" s="587"/>
      <c r="I131" s="300" t="str">
        <f>IF(ISBLANK(H131),"",IF(H131&lt;Beregningsperiode,Beregningsperiode/'Inndata Bygg'!H131-1,0))</f>
        <v/>
      </c>
      <c r="J131" s="120" t="str">
        <f t="shared" si="2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71"/>
      <c r="AC131" s="171"/>
      <c r="AD131" s="171"/>
      <c r="AE131" s="171"/>
      <c r="AF131" s="124"/>
    </row>
    <row r="132" spans="2:32">
      <c r="B132" s="167"/>
      <c r="C132" s="168"/>
      <c r="D132" s="117"/>
      <c r="E132" s="299"/>
      <c r="F132" s="119"/>
      <c r="G132" s="482"/>
      <c r="H132" s="587"/>
      <c r="I132" s="300" t="str">
        <f>IF(ISBLANK(H132),"",IF(H132&lt;Beregningsperiode,Beregningsperiode/'Inndata Bygg'!H132-1,0))</f>
        <v/>
      </c>
      <c r="J132" s="120" t="str">
        <f t="shared" si="2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71"/>
      <c r="AC132" s="171"/>
      <c r="AD132" s="171"/>
      <c r="AE132" s="171"/>
      <c r="AF132" s="124"/>
    </row>
    <row r="133" spans="2:32">
      <c r="B133" s="167"/>
      <c r="C133" s="168"/>
      <c r="D133" s="117"/>
      <c r="E133" s="299"/>
      <c r="F133" s="119"/>
      <c r="G133" s="482"/>
      <c r="H133" s="587"/>
      <c r="I133" s="300" t="str">
        <f>IF(ISBLANK(H133),"",IF(H133&lt;Beregningsperiode,Beregningsperiode/'Inndata Bygg'!H133-1,0))</f>
        <v/>
      </c>
      <c r="J133" s="120" t="str">
        <f t="shared" si="2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71"/>
      <c r="AC133" s="171"/>
      <c r="AD133" s="171"/>
      <c r="AE133" s="171"/>
      <c r="AF133" s="124"/>
    </row>
    <row r="134" spans="2:32">
      <c r="B134" s="167"/>
      <c r="C134" s="168"/>
      <c r="D134" s="117"/>
      <c r="E134" s="299"/>
      <c r="F134" s="119"/>
      <c r="G134" s="482"/>
      <c r="H134" s="587"/>
      <c r="I134" s="300" t="str">
        <f>IF(ISBLANK(H134),"",IF(H134&lt;Beregningsperiode,Beregningsperiode/'Inndata Bygg'!H134-1,0))</f>
        <v/>
      </c>
      <c r="J134" s="120" t="str">
        <f t="shared" si="2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71"/>
      <c r="AC134" s="171"/>
      <c r="AD134" s="171"/>
      <c r="AE134" s="171"/>
      <c r="AF134" s="124"/>
    </row>
    <row r="135" spans="2:32">
      <c r="B135" s="167"/>
      <c r="C135" s="168"/>
      <c r="D135" s="117"/>
      <c r="E135" s="299"/>
      <c r="F135" s="119"/>
      <c r="G135" s="482"/>
      <c r="H135" s="587"/>
      <c r="I135" s="300" t="str">
        <f>IF(ISBLANK(H135),"",IF(H135&lt;Beregningsperiode,Beregningsperiode/'Inndata Bygg'!H135-1,0))</f>
        <v/>
      </c>
      <c r="J135" s="120" t="str">
        <f t="shared" si="2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71"/>
      <c r="AC135" s="171"/>
      <c r="AD135" s="171"/>
      <c r="AE135" s="171"/>
      <c r="AF135" s="124"/>
    </row>
    <row r="136" spans="2:32">
      <c r="B136" s="167"/>
      <c r="C136" s="168"/>
      <c r="D136" s="117"/>
      <c r="E136" s="299"/>
      <c r="F136" s="119"/>
      <c r="G136" s="482"/>
      <c r="H136" s="587"/>
      <c r="I136" s="300" t="str">
        <f>IF(ISBLANK(H136),"",IF(H136&lt;Beregningsperiode,Beregningsperiode/'Inndata Bygg'!H136-1,0))</f>
        <v/>
      </c>
      <c r="J136" s="120" t="str">
        <f t="shared" si="2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71"/>
      <c r="AC136" s="171"/>
      <c r="AD136" s="171"/>
      <c r="AE136" s="171"/>
      <c r="AF136" s="124"/>
    </row>
    <row r="137" spans="2:32">
      <c r="B137" s="167"/>
      <c r="C137" s="168"/>
      <c r="D137" s="117"/>
      <c r="E137" s="299"/>
      <c r="F137" s="119"/>
      <c r="G137" s="482"/>
      <c r="H137" s="587"/>
      <c r="I137" s="300" t="str">
        <f>IF(ISBLANK(H137),"",IF(H137&lt;Beregningsperiode,Beregningsperiode/'Inndata Bygg'!H137-1,0))</f>
        <v/>
      </c>
      <c r="J137" s="120" t="str">
        <f t="shared" si="2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71"/>
      <c r="AC137" s="171"/>
      <c r="AD137" s="171"/>
      <c r="AE137" s="171"/>
      <c r="AF137" s="124"/>
    </row>
    <row r="138" spans="2:32">
      <c r="B138" s="167"/>
      <c r="C138" s="168"/>
      <c r="D138" s="117"/>
      <c r="E138" s="299"/>
      <c r="F138" s="119"/>
      <c r="G138" s="482"/>
      <c r="H138" s="587"/>
      <c r="I138" s="300" t="str">
        <f>IF(ISBLANK(H138),"",IF(H138&lt;Beregningsperiode,Beregningsperiode/'Inndata Bygg'!H138-1,0))</f>
        <v/>
      </c>
      <c r="J138" s="120" t="str">
        <f t="shared" si="2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71"/>
      <c r="AC138" s="171"/>
      <c r="AD138" s="171"/>
      <c r="AE138" s="171"/>
      <c r="AF138" s="124"/>
    </row>
    <row r="139" spans="2:32">
      <c r="B139" s="167"/>
      <c r="C139" s="168"/>
      <c r="D139" s="117"/>
      <c r="E139" s="299"/>
      <c r="F139" s="119"/>
      <c r="G139" s="482"/>
      <c r="H139" s="587"/>
      <c r="I139" s="300" t="str">
        <f>IF(ISBLANK(H139),"",IF(H139&lt;Beregningsperiode,Beregningsperiode/'Inndata Bygg'!H139-1,0))</f>
        <v/>
      </c>
      <c r="J139" s="120" t="str">
        <f t="shared" si="2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71"/>
      <c r="AC139" s="171"/>
      <c r="AD139" s="171"/>
      <c r="AE139" s="171"/>
      <c r="AF139" s="124"/>
    </row>
    <row r="140" spans="2:32">
      <c r="B140" s="167"/>
      <c r="C140" s="168"/>
      <c r="D140" s="117"/>
      <c r="E140" s="299"/>
      <c r="F140" s="119"/>
      <c r="G140" s="482"/>
      <c r="H140" s="587"/>
      <c r="I140" s="300" t="str">
        <f>IF(ISBLANK(H140),"",IF(H140&lt;Beregningsperiode,Beregningsperiode/'Inndata Bygg'!H140-1,0))</f>
        <v/>
      </c>
      <c r="J140" s="120" t="str">
        <f t="shared" si="2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71"/>
      <c r="AC140" s="171"/>
      <c r="AD140" s="171"/>
      <c r="AE140" s="171"/>
      <c r="AF140" s="124"/>
    </row>
    <row r="141" spans="2:32">
      <c r="B141" s="167"/>
      <c r="C141" s="168"/>
      <c r="D141" s="117"/>
      <c r="E141" s="299"/>
      <c r="F141" s="119"/>
      <c r="G141" s="482"/>
      <c r="H141" s="587"/>
      <c r="I141" s="300" t="str">
        <f>IF(ISBLANK(H141),"",IF(H141&lt;Beregningsperiode,Beregningsperiode/'Inndata Bygg'!H141-1,0))</f>
        <v/>
      </c>
      <c r="J141" s="120" t="str">
        <f t="shared" si="2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71"/>
      <c r="AC141" s="171"/>
      <c r="AD141" s="171"/>
      <c r="AE141" s="171"/>
      <c r="AF141" s="124"/>
    </row>
    <row r="142" spans="2:32">
      <c r="B142" s="167"/>
      <c r="C142" s="168"/>
      <c r="D142" s="117"/>
      <c r="E142" s="299"/>
      <c r="F142" s="119"/>
      <c r="G142" s="482"/>
      <c r="H142" s="587"/>
      <c r="I142" s="300" t="str">
        <f>IF(ISBLANK(H142),"",IF(H142&lt;Beregningsperiode,Beregningsperiode/'Inndata Bygg'!H142-1,0))</f>
        <v/>
      </c>
      <c r="J142" s="120" t="str">
        <f t="shared" si="2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71"/>
      <c r="AC142" s="171"/>
      <c r="AD142" s="171"/>
      <c r="AE142" s="171"/>
      <c r="AF142" s="124"/>
    </row>
    <row r="143" spans="2:32">
      <c r="B143" s="167"/>
      <c r="C143" s="168"/>
      <c r="D143" s="117"/>
      <c r="E143" s="299"/>
      <c r="F143" s="119"/>
      <c r="G143" s="482"/>
      <c r="H143" s="587"/>
      <c r="I143" s="300" t="str">
        <f>IF(ISBLANK(H143),"",IF(H143&lt;Beregningsperiode,Beregningsperiode/'Inndata Bygg'!H143-1,0))</f>
        <v/>
      </c>
      <c r="J143" s="120" t="str">
        <f t="shared" si="2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71"/>
      <c r="AC143" s="171"/>
      <c r="AD143" s="171"/>
      <c r="AE143" s="171"/>
      <c r="AF143" s="124"/>
    </row>
    <row r="144" spans="2:32">
      <c r="B144" s="167"/>
      <c r="C144" s="168"/>
      <c r="D144" s="117"/>
      <c r="E144" s="299"/>
      <c r="F144" s="119"/>
      <c r="G144" s="482"/>
      <c r="H144" s="587"/>
      <c r="I144" s="300" t="str">
        <f>IF(ISBLANK(H144),"",IF(H144&lt;Beregningsperiode,Beregningsperiode/'Inndata Bygg'!H144-1,0))</f>
        <v/>
      </c>
      <c r="J144" s="120" t="str">
        <f t="shared" si="2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71"/>
      <c r="AC144" s="171"/>
      <c r="AD144" s="171"/>
      <c r="AE144" s="171"/>
      <c r="AF144" s="124"/>
    </row>
    <row r="145" spans="2:32">
      <c r="B145" s="167"/>
      <c r="C145" s="168"/>
      <c r="D145" s="117"/>
      <c r="E145" s="299"/>
      <c r="F145" s="119"/>
      <c r="G145" s="482"/>
      <c r="H145" s="587"/>
      <c r="I145" s="300" t="str">
        <f>IF(ISBLANK(H145),"",IF(H145&lt;Beregningsperiode,Beregningsperiode/'Inndata Bygg'!H145-1,0))</f>
        <v/>
      </c>
      <c r="J145" s="120" t="str">
        <f t="shared" ref="J145:J161" si="3">IF(ISBLANK(H145),"",G145*I145)</f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71"/>
      <c r="AC145" s="171"/>
      <c r="AD145" s="171"/>
      <c r="AE145" s="171"/>
      <c r="AF145" s="124"/>
    </row>
    <row r="146" spans="2:32">
      <c r="B146" s="167"/>
      <c r="C146" s="168"/>
      <c r="D146" s="117"/>
      <c r="E146" s="299"/>
      <c r="F146" s="119"/>
      <c r="G146" s="482"/>
      <c r="H146" s="587"/>
      <c r="I146" s="300" t="str">
        <f>IF(ISBLANK(H146),"",IF(H146&lt;Beregningsperiode,Beregningsperiode/'Inndata Bygg'!H146-1,0))</f>
        <v/>
      </c>
      <c r="J146" s="120" t="str">
        <f t="shared" si="3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71"/>
      <c r="AC146" s="171"/>
      <c r="AD146" s="171"/>
      <c r="AE146" s="171"/>
      <c r="AF146" s="124"/>
    </row>
    <row r="147" spans="2:32">
      <c r="B147" s="167"/>
      <c r="C147" s="168"/>
      <c r="D147" s="117"/>
      <c r="E147" s="299"/>
      <c r="F147" s="119"/>
      <c r="G147" s="482"/>
      <c r="H147" s="587"/>
      <c r="I147" s="300" t="str">
        <f>IF(ISBLANK(H147),"",IF(H147&lt;Beregningsperiode,Beregningsperiode/'Inndata Bygg'!H147-1,0))</f>
        <v/>
      </c>
      <c r="J147" s="120" t="str">
        <f t="shared" si="3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71"/>
      <c r="AC147" s="171"/>
      <c r="AD147" s="171"/>
      <c r="AE147" s="171"/>
      <c r="AF147" s="124"/>
    </row>
    <row r="148" spans="2:32">
      <c r="B148" s="167"/>
      <c r="C148" s="168"/>
      <c r="D148" s="117"/>
      <c r="E148" s="299"/>
      <c r="F148" s="119"/>
      <c r="G148" s="482"/>
      <c r="H148" s="587"/>
      <c r="I148" s="300" t="str">
        <f>IF(ISBLANK(H148),"",IF(H148&lt;Beregningsperiode,Beregningsperiode/'Inndata Bygg'!H148-1,0))</f>
        <v/>
      </c>
      <c r="J148" s="120" t="str">
        <f t="shared" si="3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71"/>
      <c r="AC148" s="171"/>
      <c r="AD148" s="171"/>
      <c r="AE148" s="171"/>
      <c r="AF148" s="124"/>
    </row>
    <row r="149" spans="2:32">
      <c r="B149" s="167"/>
      <c r="C149" s="168"/>
      <c r="D149" s="117"/>
      <c r="E149" s="299"/>
      <c r="F149" s="119"/>
      <c r="G149" s="482"/>
      <c r="H149" s="587"/>
      <c r="I149" s="300" t="str">
        <f>IF(ISBLANK(H149),"",IF(H149&lt;Beregningsperiode,Beregningsperiode/'Inndata Bygg'!H149-1,0))</f>
        <v/>
      </c>
      <c r="J149" s="120" t="str">
        <f t="shared" si="3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71"/>
      <c r="AC149" s="171"/>
      <c r="AD149" s="171"/>
      <c r="AE149" s="171"/>
      <c r="AF149" s="124"/>
    </row>
    <row r="150" spans="2:32">
      <c r="B150" s="167"/>
      <c r="C150" s="168"/>
      <c r="D150" s="117"/>
      <c r="E150" s="299"/>
      <c r="F150" s="119"/>
      <c r="G150" s="482"/>
      <c r="H150" s="587"/>
      <c r="I150" s="300" t="str">
        <f>IF(ISBLANK(H150),"",IF(H150&lt;Beregningsperiode,Beregningsperiode/'Inndata Bygg'!H150-1,0))</f>
        <v/>
      </c>
      <c r="J150" s="120" t="str">
        <f t="shared" si="3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71"/>
      <c r="AC150" s="171"/>
      <c r="AD150" s="171"/>
      <c r="AE150" s="171"/>
      <c r="AF150" s="124"/>
    </row>
    <row r="151" spans="2:32">
      <c r="B151" s="167"/>
      <c r="C151" s="168"/>
      <c r="D151" s="117"/>
      <c r="E151" s="299"/>
      <c r="F151" s="119"/>
      <c r="G151" s="482"/>
      <c r="H151" s="587"/>
      <c r="I151" s="300" t="str">
        <f>IF(ISBLANK(H151),"",IF(H151&lt;Beregningsperiode,Beregningsperiode/'Inndata Bygg'!H151-1,0))</f>
        <v/>
      </c>
      <c r="J151" s="120" t="str">
        <f t="shared" si="3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71"/>
      <c r="AC151" s="171"/>
      <c r="AD151" s="171"/>
      <c r="AE151" s="171"/>
      <c r="AF151" s="124"/>
    </row>
    <row r="152" spans="2:32">
      <c r="B152" s="167"/>
      <c r="C152" s="168"/>
      <c r="D152" s="117"/>
      <c r="E152" s="299"/>
      <c r="F152" s="119"/>
      <c r="G152" s="482"/>
      <c r="H152" s="587"/>
      <c r="I152" s="300" t="str">
        <f>IF(ISBLANK(H152),"",IF(H152&lt;Beregningsperiode,Beregningsperiode/'Inndata Bygg'!H152-1,0))</f>
        <v/>
      </c>
      <c r="J152" s="120" t="str">
        <f t="shared" si="3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71"/>
      <c r="AC152" s="171"/>
      <c r="AD152" s="171"/>
      <c r="AE152" s="171"/>
      <c r="AF152" s="124"/>
    </row>
    <row r="153" spans="2:32">
      <c r="B153" s="167"/>
      <c r="C153" s="168"/>
      <c r="D153" s="117"/>
      <c r="E153" s="299"/>
      <c r="F153" s="119"/>
      <c r="G153" s="482"/>
      <c r="H153" s="587"/>
      <c r="I153" s="300" t="str">
        <f>IF(ISBLANK(H153),"",IF(H153&lt;Beregningsperiode,Beregningsperiode/'Inndata Bygg'!H153-1,0))</f>
        <v/>
      </c>
      <c r="J153" s="120" t="str">
        <f t="shared" si="3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71"/>
      <c r="AC153" s="171"/>
      <c r="AD153" s="171"/>
      <c r="AE153" s="171"/>
      <c r="AF153" s="124"/>
    </row>
    <row r="154" spans="2:32">
      <c r="B154" s="167"/>
      <c r="C154" s="168"/>
      <c r="D154" s="117"/>
      <c r="E154" s="299"/>
      <c r="F154" s="119"/>
      <c r="G154" s="482"/>
      <c r="H154" s="587"/>
      <c r="I154" s="300" t="str">
        <f>IF(ISBLANK(H154),"",IF(H154&lt;Beregningsperiode,Beregningsperiode/'Inndata Bygg'!H154-1,0))</f>
        <v/>
      </c>
      <c r="J154" s="120" t="str">
        <f t="shared" si="3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71"/>
      <c r="AC154" s="171"/>
      <c r="AD154" s="171"/>
      <c r="AE154" s="171"/>
      <c r="AF154" s="124"/>
    </row>
    <row r="155" spans="2:32">
      <c r="B155" s="167"/>
      <c r="C155" s="168"/>
      <c r="D155" s="117"/>
      <c r="E155" s="299"/>
      <c r="F155" s="119"/>
      <c r="G155" s="482"/>
      <c r="H155" s="587"/>
      <c r="I155" s="300" t="str">
        <f>IF(ISBLANK(H155),"",IF(H155&lt;Beregningsperiode,Beregningsperiode/'Inndata Bygg'!H155-1,0))</f>
        <v/>
      </c>
      <c r="J155" s="120" t="str">
        <f t="shared" si="3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71"/>
      <c r="AC155" s="171"/>
      <c r="AD155" s="171"/>
      <c r="AE155" s="171"/>
      <c r="AF155" s="124"/>
    </row>
    <row r="156" spans="2:32">
      <c r="B156" s="167"/>
      <c r="C156" s="168"/>
      <c r="D156" s="117"/>
      <c r="E156" s="299"/>
      <c r="F156" s="119"/>
      <c r="G156" s="482"/>
      <c r="H156" s="587"/>
      <c r="I156" s="300" t="str">
        <f>IF(ISBLANK(H156),"",IF(H156&lt;Beregningsperiode,Beregningsperiode/'Inndata Bygg'!H156-1,0))</f>
        <v/>
      </c>
      <c r="J156" s="120" t="str">
        <f t="shared" si="3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71"/>
      <c r="AC156" s="171"/>
      <c r="AD156" s="171"/>
      <c r="AE156" s="171"/>
      <c r="AF156" s="124"/>
    </row>
    <row r="157" spans="2:32">
      <c r="B157" s="167"/>
      <c r="C157" s="168"/>
      <c r="D157" s="117"/>
      <c r="E157" s="299"/>
      <c r="F157" s="119"/>
      <c r="G157" s="482"/>
      <c r="H157" s="587"/>
      <c r="I157" s="300" t="str">
        <f>IF(ISBLANK(H157),"",IF(H157&lt;Beregningsperiode,Beregningsperiode/'Inndata Bygg'!H157-1,0))</f>
        <v/>
      </c>
      <c r="J157" s="120" t="str">
        <f t="shared" si="3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71"/>
      <c r="AC157" s="171"/>
      <c r="AD157" s="171"/>
      <c r="AE157" s="171"/>
      <c r="AF157" s="124"/>
    </row>
    <row r="158" spans="2:32">
      <c r="B158" s="167"/>
      <c r="C158" s="168"/>
      <c r="D158" s="117"/>
      <c r="E158" s="299"/>
      <c r="F158" s="119"/>
      <c r="G158" s="482"/>
      <c r="H158" s="587"/>
      <c r="I158" s="300" t="str">
        <f>IF(ISBLANK(H158),"",IF(H158&lt;Beregningsperiode,Beregningsperiode/'Inndata Bygg'!H158-1,0))</f>
        <v/>
      </c>
      <c r="J158" s="120" t="str">
        <f t="shared" si="3"/>
        <v/>
      </c>
      <c r="K158" s="121"/>
      <c r="L158" s="122"/>
      <c r="M158" s="123"/>
      <c r="N158" s="123"/>
      <c r="O158" s="302"/>
      <c r="P158" s="299"/>
      <c r="Q158" s="299"/>
      <c r="R158" s="299"/>
      <c r="S158" s="299"/>
      <c r="T158" s="299"/>
      <c r="U158" s="299"/>
      <c r="V158" s="299"/>
      <c r="W158" s="412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301"/>
      <c r="AA158" s="415" t="str">
        <f>IF(ISBLANK(E158),"",VLOOKUP(W158,Tabell1[#All],5)/100)</f>
        <v/>
      </c>
      <c r="AB158" s="171"/>
      <c r="AC158" s="171"/>
      <c r="AD158" s="171"/>
      <c r="AE158" s="171"/>
      <c r="AF158" s="124"/>
    </row>
    <row r="159" spans="2:32">
      <c r="B159" s="167"/>
      <c r="C159" s="168"/>
      <c r="D159" s="117"/>
      <c r="E159" s="299"/>
      <c r="F159" s="119"/>
      <c r="G159" s="482"/>
      <c r="H159" s="587"/>
      <c r="I159" s="300" t="str">
        <f>IF(ISBLANK(H159),"",IF(H159&lt;Beregningsperiode,Beregningsperiode/'Inndata Bygg'!H159-1,0))</f>
        <v/>
      </c>
      <c r="J159" s="120" t="str">
        <f t="shared" si="3"/>
        <v/>
      </c>
      <c r="K159" s="121"/>
      <c r="L159" s="122"/>
      <c r="M159" s="123"/>
      <c r="N159" s="123"/>
      <c r="O159" s="302"/>
      <c r="P159" s="299"/>
      <c r="Q159" s="299"/>
      <c r="R159" s="299"/>
      <c r="S159" s="299"/>
      <c r="T159" s="299"/>
      <c r="U159" s="299"/>
      <c r="V159" s="299"/>
      <c r="W159" s="412"/>
      <c r="X159" s="414" t="str">
        <f>IF(ISBLANK(E159),"",VLOOKUP(W159,Tabell1[#All],3)/100)</f>
        <v/>
      </c>
      <c r="Y159" s="414" t="str">
        <f>IF(ISBLANK(E159),"",VLOOKUP(W159,Tabell1[#All],4)/100)</f>
        <v/>
      </c>
      <c r="Z159" s="301"/>
      <c r="AA159" s="415" t="str">
        <f>IF(ISBLANK(E159),"",VLOOKUP(W159,Tabell1[#All],5)/100)</f>
        <v/>
      </c>
      <c r="AB159" s="171"/>
      <c r="AC159" s="171"/>
      <c r="AD159" s="171"/>
      <c r="AE159" s="171"/>
      <c r="AF159" s="124"/>
    </row>
    <row r="160" spans="2:32">
      <c r="B160" s="167"/>
      <c r="C160" s="168"/>
      <c r="D160" s="117"/>
      <c r="E160" s="299"/>
      <c r="F160" s="119"/>
      <c r="G160" s="482"/>
      <c r="H160" s="587"/>
      <c r="I160" s="300" t="str">
        <f>IF(ISBLANK(H160),"",IF(H160&lt;Beregningsperiode,Beregningsperiode/'Inndata Bygg'!H160-1,0))</f>
        <v/>
      </c>
      <c r="J160" s="120" t="str">
        <f t="shared" si="3"/>
        <v/>
      </c>
      <c r="K160" s="121"/>
      <c r="L160" s="122"/>
      <c r="M160" s="123"/>
      <c r="N160" s="123"/>
      <c r="O160" s="302"/>
      <c r="P160" s="299"/>
      <c r="Q160" s="299"/>
      <c r="R160" s="299"/>
      <c r="S160" s="299"/>
      <c r="T160" s="299"/>
      <c r="U160" s="299"/>
      <c r="V160" s="299"/>
      <c r="W160" s="412"/>
      <c r="X160" s="414" t="str">
        <f>IF(ISBLANK(E160),"",VLOOKUP(W160,Tabell1[#All],3)/100)</f>
        <v/>
      </c>
      <c r="Y160" s="414" t="str">
        <f>IF(ISBLANK(E160),"",VLOOKUP(W160,Tabell1[#All],4)/100)</f>
        <v/>
      </c>
      <c r="Z160" s="301"/>
      <c r="AA160" s="415" t="str">
        <f>IF(ISBLANK(E160),"",VLOOKUP(W160,Tabell1[#All],5)/100)</f>
        <v/>
      </c>
      <c r="AB160" s="171"/>
      <c r="AC160" s="171"/>
      <c r="AD160" s="171"/>
      <c r="AE160" s="171"/>
      <c r="AF160" s="124"/>
    </row>
    <row r="161" spans="2:32">
      <c r="B161" s="167"/>
      <c r="C161" s="168"/>
      <c r="D161" s="117"/>
      <c r="E161" s="299"/>
      <c r="F161" s="119"/>
      <c r="G161" s="482"/>
      <c r="H161" s="587"/>
      <c r="I161" s="300" t="str">
        <f>IF(ISBLANK(H161),"",IF(H161&lt;Beregningsperiode,Beregningsperiode/'Inndata Bygg'!H161-1,0))</f>
        <v/>
      </c>
      <c r="J161" s="120" t="str">
        <f t="shared" si="3"/>
        <v/>
      </c>
      <c r="K161" s="121"/>
      <c r="L161" s="122"/>
      <c r="M161" s="123"/>
      <c r="N161" s="123"/>
      <c r="O161" s="302"/>
      <c r="P161" s="299"/>
      <c r="Q161" s="299"/>
      <c r="R161" s="299"/>
      <c r="S161" s="299"/>
      <c r="T161" s="299"/>
      <c r="U161" s="299"/>
      <c r="V161" s="299"/>
      <c r="W161" s="412"/>
      <c r="X161" s="414" t="str">
        <f>IF(ISBLANK(E161),"",VLOOKUP(W161,Tabell1[#All],3)/100)</f>
        <v/>
      </c>
      <c r="Y161" s="414" t="str">
        <f>IF(ISBLANK(E161),"",VLOOKUP(W161,Tabell1[#All],4)/100)</f>
        <v/>
      </c>
      <c r="Z161" s="301"/>
      <c r="AA161" s="415" t="str">
        <f>IF(ISBLANK(E161),"",VLOOKUP(W161,Tabell1[#All],5)/100)</f>
        <v/>
      </c>
      <c r="AB161" s="171"/>
      <c r="AC161" s="171"/>
      <c r="AD161" s="171"/>
      <c r="AE161" s="171"/>
      <c r="AF161" s="124"/>
    </row>
  </sheetData>
  <sheetProtection algorithmName="SHA-512" hashValue="OGRRcrR6ZBxHpmj+yBvBZ6q4uBybLSrxUsOAUN7jTEmnIL+6b2SVhgd2pPKOpZIsnyWyKqX8PT6X9KtEl6UTag==" saltValue="k8XDe8F8b5/ufxSxX1G9Yw==" spinCount="100000" sheet="1" formatCells="0" formatColumns="0" formatRows="0" sort="0" autoFilter="0" pivotTables="0"/>
  <mergeCells count="11">
    <mergeCell ref="AB12:AF12"/>
    <mergeCell ref="L11:N11"/>
    <mergeCell ref="X12:AA12"/>
    <mergeCell ref="G11:K11"/>
    <mergeCell ref="E11:F11"/>
    <mergeCell ref="B10:D10"/>
    <mergeCell ref="B11:D11"/>
    <mergeCell ref="E10:AF10"/>
    <mergeCell ref="AB11:AF11"/>
    <mergeCell ref="O11:V11"/>
    <mergeCell ref="X11:AA11"/>
  </mergeCells>
  <conditionalFormatting sqref="B15:AF161">
    <cfRule type="containsBlanks" dxfId="93" priority="3">
      <formula>LEN(TRIM(B15))=0</formula>
    </cfRule>
  </conditionalFormatting>
  <conditionalFormatting sqref="X162:X1048576 AA162:AB1048576">
    <cfRule type="cellIs" dxfId="92" priority="8" operator="equal">
      <formula>"Nei"</formula>
    </cfRule>
    <cfRule type="cellIs" dxfId="91" priority="9" operator="equal">
      <formula>"Ja"</formula>
    </cfRule>
  </conditionalFormatting>
  <conditionalFormatting sqref="X15:AF161">
    <cfRule type="cellIs" dxfId="90" priority="1" operator="equal">
      <formula>"Nei"</formula>
    </cfRule>
    <cfRule type="cellIs" dxfId="89" priority="2" operator="equal">
      <formula>"Ja"</formula>
    </cfRule>
  </conditionalFormatting>
  <conditionalFormatting sqref="AE162:AE1048576">
    <cfRule type="cellIs" dxfId="88" priority="24" operator="equal">
      <formula>"Nei"</formula>
    </cfRule>
    <cfRule type="cellIs" dxfId="87" priority="25" operator="equal">
      <formula>"Ja"</formula>
    </cfRule>
  </conditionalFormatting>
  <dataValidations xWindow="1418" yWindow="309" count="5">
    <dataValidation type="list" allowBlank="1" showInputMessage="1" showErrorMessage="1" sqref="AB162:AB1048576 AE162:AE1048576" xr:uid="{00000000-0002-0000-0100-000000000000}">
      <formula1>"Ja,Nei"</formula1>
    </dataValidation>
    <dataValidation type="list" allowBlank="1" showInputMessage="1" showErrorMessage="1" prompt="Er produktet del av energiproduserende utstyr, f.eks. solceller?" sqref="AF15:AF161 AC15:AD161" xr:uid="{00000000-0002-0000-0100-000001000000}">
      <formula1>"Ja,Nei"</formula1>
    </dataValidation>
    <dataValidation type="decimal" allowBlank="1" showInputMessage="1" showErrorMessage="1" errorTitle="Ugyldig verdi" error="Verdien må være mellom 0 og 100%." sqref="L15:N161" xr:uid="{00000000-0002-0000-0100-000002000000}">
      <formula1>0</formula1>
      <formula2>1</formula2>
    </dataValidation>
    <dataValidation type="list" allowBlank="1" showInputMessage="1" showErrorMessage="1" prompt="Ombrukbarhet må være dokumentert etter FutureBuilt's kriterier for sirkulære bygg." sqref="AE15:AE161" xr:uid="{00000000-0002-0000-0100-000003000000}">
      <formula1>"Ja,Nei"</formula1>
    </dataValidation>
    <dataValidation type="list" allowBlank="1" showInputMessage="1" showErrorMessage="1" prompt="Produktet er tidligere brukt i en annen bygning eller liknende." sqref="AB15:AB161" xr:uid="{00000000-0002-0000-0100-000004000000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1418" yWindow="309" count="1">
        <x14:dataValidation type="list" allowBlank="1" showInputMessage="1" showErrorMessage="1" xr:uid="{61165909-3792-BE47-8889-C29D5E49F603}">
          <x14:formula1>
            <xm:f>'Lister og verdier'!$B$45:$B$56</xm:f>
          </x14:formula1>
          <xm:sqref>W15:W161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3" tint="0.59999389629810485"/>
  </sheetPr>
  <dimension ref="A1:AP159"/>
  <sheetViews>
    <sheetView zoomScaleNormal="100" workbookViewId="0">
      <pane xSplit="1" topLeftCell="B1" activePane="topRight" state="frozen"/>
      <selection pane="topRight" activeCell="C20" sqref="C20"/>
      <selection activeCell="D114" sqref="D114"/>
    </sheetView>
  </sheetViews>
  <sheetFormatPr defaultColWidth="8.875" defaultRowHeight="15"/>
  <cols>
    <col min="1" max="1" width="7.125" style="1" customWidth="1"/>
    <col min="2" max="2" width="12.375" style="1" bestFit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13.625" style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47.125" style="1" customWidth="1"/>
    <col min="29" max="30" width="13.375" style="1" customWidth="1"/>
    <col min="31" max="31" width="16.875" style="1" customWidth="1"/>
    <col min="32" max="32" width="21.875" style="1" bestFit="1" customWidth="1"/>
    <col min="33" max="35" width="15.125" style="1" customWidth="1"/>
    <col min="36" max="36" width="7.125" style="1" customWidth="1"/>
    <col min="37" max="38" width="13.875" style="1" customWidth="1"/>
    <col min="39" max="39" width="20.875" style="1" customWidth="1"/>
    <col min="40" max="40" width="8.875" style="1"/>
    <col min="41" max="41" width="34.5" style="1" bestFit="1" customWidth="1"/>
    <col min="42" max="16384" width="8.875" style="1"/>
  </cols>
  <sheetData>
    <row r="1" spans="1:42" ht="36.950000000000003">
      <c r="B1" s="103" t="s">
        <v>316</v>
      </c>
      <c r="X1" s="561"/>
      <c r="Y1" s="560"/>
    </row>
    <row r="2" spans="1:42">
      <c r="B2" s="303" t="s">
        <v>317</v>
      </c>
      <c r="X2" s="561"/>
    </row>
    <row r="3" spans="1:42" ht="15" customHeight="1">
      <c r="B3" s="8" t="s">
        <v>318</v>
      </c>
      <c r="X3" s="1"/>
    </row>
    <row r="4" spans="1:42" ht="15" customHeight="1">
      <c r="X4" s="1"/>
    </row>
    <row r="5" spans="1:42" s="181" customFormat="1" ht="53.1" customHeight="1">
      <c r="B5" s="371"/>
      <c r="C5" s="372"/>
      <c r="D5" s="372"/>
      <c r="E5" s="445"/>
      <c r="F5" s="771" t="s">
        <v>319</v>
      </c>
      <c r="G5" s="772"/>
      <c r="H5" s="772"/>
      <c r="I5" s="772"/>
      <c r="J5" s="772"/>
      <c r="K5" s="772"/>
      <c r="L5" s="772"/>
      <c r="M5" s="772"/>
      <c r="N5" s="773"/>
      <c r="O5" s="773"/>
      <c r="P5" s="773"/>
      <c r="Q5" s="772"/>
      <c r="R5" s="772"/>
      <c r="S5" s="772"/>
      <c r="T5" s="772"/>
      <c r="U5" s="772"/>
      <c r="V5" s="804" t="s">
        <v>320</v>
      </c>
      <c r="W5" s="805"/>
      <c r="X5" s="805"/>
      <c r="Y5" s="805"/>
      <c r="Z5" s="805"/>
      <c r="AA5" s="805"/>
      <c r="AB5" s="806"/>
      <c r="AC5" s="802" t="s">
        <v>321</v>
      </c>
      <c r="AD5" s="803"/>
      <c r="AE5" s="803"/>
      <c r="AF5" s="803"/>
      <c r="AG5" s="768" t="s">
        <v>322</v>
      </c>
      <c r="AH5" s="769"/>
      <c r="AI5" s="770"/>
      <c r="AJ5" s="562"/>
      <c r="AK5" s="801" t="s">
        <v>323</v>
      </c>
      <c r="AL5" s="801"/>
      <c r="AM5" s="801"/>
    </row>
    <row r="6" spans="1:42" s="182" customFormat="1" ht="32.1" customHeight="1">
      <c r="B6" s="793" t="s">
        <v>324</v>
      </c>
      <c r="C6" s="794"/>
      <c r="D6" s="446">
        <f>SUM(F7:AF7)</f>
        <v>34730.197925348533</v>
      </c>
      <c r="E6" s="445"/>
      <c r="F6" s="774" t="s">
        <v>325</v>
      </c>
      <c r="G6" s="775"/>
      <c r="H6" s="775"/>
      <c r="I6" s="775"/>
      <c r="J6" s="775"/>
      <c r="K6" s="775"/>
      <c r="L6" s="775"/>
      <c r="M6" s="775"/>
      <c r="N6" s="776" t="s">
        <v>326</v>
      </c>
      <c r="O6" s="777"/>
      <c r="P6" s="778"/>
      <c r="Q6" s="783" t="s">
        <v>327</v>
      </c>
      <c r="R6" s="783"/>
      <c r="S6" s="783"/>
      <c r="T6" s="783"/>
      <c r="U6" s="783"/>
      <c r="V6" s="774" t="s">
        <v>328</v>
      </c>
      <c r="W6" s="775"/>
      <c r="X6" s="807" t="s">
        <v>329</v>
      </c>
      <c r="Y6" s="783"/>
      <c r="Z6" s="783"/>
      <c r="AA6" s="783"/>
      <c r="AB6" s="808"/>
      <c r="AC6" s="310" t="s">
        <v>330</v>
      </c>
      <c r="AD6" s="311" t="s">
        <v>331</v>
      </c>
      <c r="AE6" s="807" t="s">
        <v>332</v>
      </c>
      <c r="AF6" s="783"/>
      <c r="AG6" s="765" t="s">
        <v>333</v>
      </c>
      <c r="AH6" s="766"/>
      <c r="AI6" s="767"/>
      <c r="AJ6" s="563"/>
      <c r="AK6" s="82" t="s">
        <v>325</v>
      </c>
      <c r="AL6" s="82" t="s">
        <v>326</v>
      </c>
      <c r="AM6" s="82" t="s">
        <v>329</v>
      </c>
    </row>
    <row r="7" spans="1:42" s="77" customFormat="1" ht="15" customHeight="1">
      <c r="B7" s="809" t="s">
        <v>267</v>
      </c>
      <c r="C7" s="810"/>
      <c r="D7" s="810"/>
      <c r="E7" s="447" t="s">
        <v>334</v>
      </c>
      <c r="F7" s="448">
        <f t="shared" ref="F7:AF7" si="0">SUM(F12:F158)</f>
        <v>36250.86</v>
      </c>
      <c r="G7" s="448">
        <f t="shared" si="0"/>
        <v>0</v>
      </c>
      <c r="H7" s="448">
        <f t="shared" si="0"/>
        <v>0</v>
      </c>
      <c r="I7" s="448">
        <f t="shared" si="0"/>
        <v>0</v>
      </c>
      <c r="J7" s="448">
        <f t="shared" si="0"/>
        <v>0</v>
      </c>
      <c r="K7" s="448">
        <f t="shared" si="0"/>
        <v>0</v>
      </c>
      <c r="L7" s="448">
        <f t="shared" si="0"/>
        <v>0</v>
      </c>
      <c r="M7" s="448">
        <f t="shared" si="0"/>
        <v>0</v>
      </c>
      <c r="N7" s="448">
        <f t="shared" si="0"/>
        <v>3187.2</v>
      </c>
      <c r="O7" s="448">
        <f t="shared" si="0"/>
        <v>0</v>
      </c>
      <c r="P7" s="448">
        <f t="shared" si="0"/>
        <v>0</v>
      </c>
      <c r="Q7" s="448">
        <f t="shared" si="0"/>
        <v>1812.5430000000001</v>
      </c>
      <c r="R7" s="448">
        <f t="shared" si="0"/>
        <v>0</v>
      </c>
      <c r="S7" s="448">
        <f t="shared" si="0"/>
        <v>159.36000000000001</v>
      </c>
      <c r="T7" s="448">
        <f t="shared" si="0"/>
        <v>159.36000000000001</v>
      </c>
      <c r="U7" s="448">
        <f t="shared" si="0"/>
        <v>0</v>
      </c>
      <c r="V7" s="448">
        <f t="shared" si="0"/>
        <v>0</v>
      </c>
      <c r="W7" s="448">
        <f t="shared" si="0"/>
        <v>-3203.6915710478311</v>
      </c>
      <c r="X7" s="448">
        <f t="shared" si="0"/>
        <v>0</v>
      </c>
      <c r="Y7" s="448">
        <f t="shared" si="0"/>
        <v>0</v>
      </c>
      <c r="Z7" s="448">
        <f t="shared" si="0"/>
        <v>0</v>
      </c>
      <c r="AA7" s="448">
        <f t="shared" si="0"/>
        <v>0</v>
      </c>
      <c r="AB7" s="448">
        <f t="shared" si="0"/>
        <v>0</v>
      </c>
      <c r="AC7" s="448">
        <f t="shared" si="0"/>
        <v>1102.5146209430607</v>
      </c>
      <c r="AD7" s="448">
        <f t="shared" si="0"/>
        <v>0</v>
      </c>
      <c r="AE7" s="448">
        <f t="shared" si="0"/>
        <v>-4211.5094440415032</v>
      </c>
      <c r="AF7" s="449">
        <f t="shared" si="0"/>
        <v>-526.4386805051879</v>
      </c>
      <c r="AG7" s="449"/>
      <c r="AH7" s="565"/>
      <c r="AI7" s="566"/>
      <c r="AJ7" s="567"/>
      <c r="AK7" s="450" cm="1">
        <f t="array" ref="AK7">SUM(IFERROR(AK12:AK158,0))</f>
        <v>36250.86</v>
      </c>
      <c r="AL7" s="451" cm="1">
        <f t="array" ref="AL7">SUM(IFERROR(AL12:AL158,0))</f>
        <v>3187.2</v>
      </c>
      <c r="AM7" s="451" cm="1">
        <f t="array" ref="AM7">SUM(IFERROR(AM12:AM158,0))</f>
        <v>0</v>
      </c>
      <c r="AP7" s="635"/>
    </row>
    <row r="8" spans="1:42" s="77" customFormat="1" ht="15" customHeight="1">
      <c r="B8" s="809"/>
      <c r="C8" s="810"/>
      <c r="D8" s="810"/>
      <c r="E8" s="813"/>
      <c r="F8" s="816"/>
      <c r="G8" s="312"/>
      <c r="H8" s="312"/>
      <c r="I8" s="312"/>
      <c r="J8" s="312"/>
      <c r="K8" s="312"/>
      <c r="L8" s="312"/>
      <c r="M8" s="312"/>
      <c r="N8" s="779" t="s">
        <v>335</v>
      </c>
      <c r="O8" s="779" t="s">
        <v>335</v>
      </c>
      <c r="P8" s="779" t="s">
        <v>335</v>
      </c>
      <c r="Q8" s="781" t="s">
        <v>336</v>
      </c>
      <c r="R8" s="781" t="s">
        <v>336</v>
      </c>
      <c r="S8" s="781" t="s">
        <v>336</v>
      </c>
      <c r="T8" s="781" t="s">
        <v>336</v>
      </c>
      <c r="U8" s="781" t="s">
        <v>336</v>
      </c>
      <c r="V8" s="788"/>
      <c r="W8" s="786"/>
      <c r="X8" s="791"/>
      <c r="Y8" s="781"/>
      <c r="Z8" s="781"/>
      <c r="AA8" s="781"/>
      <c r="AB8" s="789"/>
      <c r="AC8" s="781"/>
      <c r="AD8" s="781"/>
      <c r="AE8" s="313"/>
      <c r="AF8" s="781"/>
      <c r="AG8" s="559"/>
      <c r="AH8" s="313"/>
      <c r="AI8" s="571"/>
      <c r="AJ8" s="568"/>
      <c r="AK8" s="798" t="s">
        <v>337</v>
      </c>
      <c r="AL8" s="795" t="s">
        <v>338</v>
      </c>
      <c r="AM8" s="795" t="s">
        <v>339</v>
      </c>
    </row>
    <row r="9" spans="1:42" s="78" customFormat="1" ht="15.95" customHeight="1">
      <c r="B9" s="809"/>
      <c r="C9" s="810"/>
      <c r="D9" s="810"/>
      <c r="E9" s="814"/>
      <c r="F9" s="817"/>
      <c r="G9" s="314"/>
      <c r="H9" s="314"/>
      <c r="I9" s="314"/>
      <c r="J9" s="314"/>
      <c r="K9" s="314"/>
      <c r="L9" s="314"/>
      <c r="M9" s="314"/>
      <c r="N9" s="780"/>
      <c r="O9" s="780"/>
      <c r="P9" s="780"/>
      <c r="Q9" s="782"/>
      <c r="R9" s="782"/>
      <c r="S9" s="782"/>
      <c r="T9" s="782"/>
      <c r="U9" s="782"/>
      <c r="V9" s="788"/>
      <c r="W9" s="787"/>
      <c r="X9" s="792"/>
      <c r="Y9" s="781"/>
      <c r="Z9" s="781"/>
      <c r="AA9" s="781"/>
      <c r="AB9" s="790"/>
      <c r="AC9" s="781"/>
      <c r="AD9" s="781"/>
      <c r="AE9" s="313"/>
      <c r="AF9" s="781"/>
      <c r="AG9" s="559"/>
      <c r="AH9" s="313"/>
      <c r="AI9" s="571"/>
      <c r="AJ9" s="569"/>
      <c r="AK9" s="799"/>
      <c r="AL9" s="796"/>
      <c r="AM9" s="796"/>
    </row>
    <row r="10" spans="1:42" s="78" customFormat="1" ht="36" customHeight="1">
      <c r="B10" s="811"/>
      <c r="C10" s="812"/>
      <c r="D10" s="812"/>
      <c r="E10" s="815"/>
      <c r="F10" s="315" t="s">
        <v>340</v>
      </c>
      <c r="G10" s="316" t="s">
        <v>341</v>
      </c>
      <c r="H10" s="316" t="s">
        <v>341</v>
      </c>
      <c r="I10" s="316" t="s">
        <v>341</v>
      </c>
      <c r="J10" s="317" t="s">
        <v>340</v>
      </c>
      <c r="K10" s="316" t="s">
        <v>341</v>
      </c>
      <c r="L10" s="316" t="s">
        <v>340</v>
      </c>
      <c r="M10" s="318" t="s">
        <v>341</v>
      </c>
      <c r="N10" s="319" t="s">
        <v>338</v>
      </c>
      <c r="O10" s="319" t="s">
        <v>338</v>
      </c>
      <c r="P10" s="319" t="s">
        <v>338</v>
      </c>
      <c r="Q10" s="320" t="s">
        <v>337</v>
      </c>
      <c r="R10" s="316" t="s">
        <v>341</v>
      </c>
      <c r="S10" s="316" t="s">
        <v>338</v>
      </c>
      <c r="T10" s="316" t="s">
        <v>338</v>
      </c>
      <c r="U10" s="318" t="s">
        <v>307</v>
      </c>
      <c r="V10" s="318" t="s">
        <v>341</v>
      </c>
      <c r="W10" s="318" t="s">
        <v>341</v>
      </c>
      <c r="X10" s="318" t="s">
        <v>337</v>
      </c>
      <c r="Y10" s="318" t="s">
        <v>341</v>
      </c>
      <c r="Z10" s="784" t="s">
        <v>338</v>
      </c>
      <c r="AA10" s="785"/>
      <c r="AB10" s="321" t="s">
        <v>307</v>
      </c>
      <c r="AC10" s="322" t="s">
        <v>338</v>
      </c>
      <c r="AD10" s="321" t="s">
        <v>307</v>
      </c>
      <c r="AE10" s="323" t="s">
        <v>251</v>
      </c>
      <c r="AF10" s="578" t="s">
        <v>342</v>
      </c>
      <c r="AG10" s="764" t="s">
        <v>343</v>
      </c>
      <c r="AH10" s="764"/>
      <c r="AI10" s="764"/>
      <c r="AJ10" s="569"/>
      <c r="AK10" s="799"/>
      <c r="AL10" s="796"/>
      <c r="AM10" s="796"/>
      <c r="AO10" s="636"/>
    </row>
    <row r="11" spans="1:42" s="214" customFormat="1" ht="30">
      <c r="B11" s="324" t="s">
        <v>287</v>
      </c>
      <c r="C11" s="325" t="s">
        <v>288</v>
      </c>
      <c r="D11" s="326" t="s">
        <v>289</v>
      </c>
      <c r="E11" s="420" t="s">
        <v>344</v>
      </c>
      <c r="F11" s="113" t="s">
        <v>345</v>
      </c>
      <c r="G11" s="111" t="s">
        <v>346</v>
      </c>
      <c r="H11" s="111" t="s">
        <v>347</v>
      </c>
      <c r="I11" s="111" t="s">
        <v>348</v>
      </c>
      <c r="J11" s="111" t="s">
        <v>349</v>
      </c>
      <c r="K11" s="111" t="s">
        <v>350</v>
      </c>
      <c r="L11" s="111" t="s">
        <v>351</v>
      </c>
      <c r="M11" s="111" t="s">
        <v>352</v>
      </c>
      <c r="N11" s="111" t="s">
        <v>326</v>
      </c>
      <c r="O11" s="111" t="s">
        <v>353</v>
      </c>
      <c r="P11" s="111" t="s">
        <v>354</v>
      </c>
      <c r="Q11" s="111" t="s">
        <v>355</v>
      </c>
      <c r="R11" s="111" t="s">
        <v>356</v>
      </c>
      <c r="S11" s="111" t="s">
        <v>357</v>
      </c>
      <c r="T11" s="111" t="s">
        <v>358</v>
      </c>
      <c r="U11" s="111" t="s">
        <v>359</v>
      </c>
      <c r="V11" s="111" t="s">
        <v>360</v>
      </c>
      <c r="W11" s="111" t="s">
        <v>361</v>
      </c>
      <c r="X11" s="111" t="s">
        <v>362</v>
      </c>
      <c r="Y11" s="111" t="s">
        <v>363</v>
      </c>
      <c r="Z11" s="111" t="s">
        <v>364</v>
      </c>
      <c r="AA11" s="111" t="s">
        <v>365</v>
      </c>
      <c r="AB11" s="111" t="s">
        <v>366</v>
      </c>
      <c r="AC11" s="111" t="s">
        <v>330</v>
      </c>
      <c r="AD11" s="111" t="s">
        <v>331</v>
      </c>
      <c r="AE11" s="579" t="s">
        <v>367</v>
      </c>
      <c r="AF11" s="113" t="s">
        <v>368</v>
      </c>
      <c r="AG11" s="564" t="s">
        <v>307</v>
      </c>
      <c r="AH11" s="564" t="s">
        <v>248</v>
      </c>
      <c r="AI11" s="564" t="s">
        <v>369</v>
      </c>
      <c r="AJ11" s="570"/>
      <c r="AK11" s="800"/>
      <c r="AL11" s="797"/>
      <c r="AM11" s="797"/>
      <c r="AO11" s="636"/>
    </row>
    <row r="12" spans="1:42" s="79" customFormat="1">
      <c r="A12" s="183"/>
      <c r="B12" s="614">
        <f>'Inndata Bygg'!B15</f>
        <v>231</v>
      </c>
      <c r="C12" s="615" t="str">
        <f>'Inndata Bygg'!C15</f>
        <v>Concrete</v>
      </c>
      <c r="D12" s="616" t="str">
        <f>'Inndata Bygg'!D15</f>
        <v>"Concrete"</v>
      </c>
      <c r="E12" s="421" cm="1">
        <f t="array" ref="E12">SUM(IFERROR(F12:AD12,0))</f>
        <v>39468.146049895229</v>
      </c>
      <c r="F12" s="617">
        <f>'Inndata Bygg'!E15</f>
        <v>36250.86</v>
      </c>
      <c r="G12" s="617">
        <f>IF('Inndata Bygg'!AB15="Ja", -0.8*'Resultater detaljert Bygg'!$F12, 0)</f>
        <v>0</v>
      </c>
      <c r="H12" s="617">
        <f>IF('Inndata Bygg'!AC15="Ja", -0.4*'Resultater detaljert Bygg'!$F12, 0)</f>
        <v>0</v>
      </c>
      <c r="I12" s="617">
        <f>IF('Inndata Bygg'!AD15="Ja", -1*'Resultater detaljert Bygg'!$F12, 0)</f>
        <v>0</v>
      </c>
      <c r="J12" s="617">
        <f>'Inndata Bygg'!O15*'Inndata Bygg'!P15</f>
        <v>0</v>
      </c>
      <c r="K12" s="617">
        <f>MAX(-0.75*(SUM('Resultater detaljert Bygg'!F12:J12)),-'Inndata Bygg'!O15*'Inndata Bygg'!Q15)</f>
        <v>0</v>
      </c>
      <c r="L12" s="617">
        <f>'Inndata Bygg'!S15*'Inndata Bygg'!T15</f>
        <v>0</v>
      </c>
      <c r="M12" s="617">
        <f>MAX(-0.75*(SUM('Resultater detaljert Bygg'!F12:I12,L12)),-'Inndata Bygg'!S15*'Inndata Bygg'!U15)</f>
        <v>0</v>
      </c>
      <c r="N12" s="618">
        <f>'Inndata Bygg'!F15</f>
        <v>3187.2</v>
      </c>
      <c r="O12" s="617">
        <f>'Inndata Bygg'!O15*'Inndata Bygg'!R15</f>
        <v>0</v>
      </c>
      <c r="P12" s="619">
        <f>'Inndata Bygg'!S15*'Inndata Bygg'!V15</f>
        <v>0</v>
      </c>
      <c r="Q12" s="620">
        <f>SUM(F12:J12,L12)*'Inndata Bygg'!K15</f>
        <v>1812.5430000000001</v>
      </c>
      <c r="R12" s="621">
        <f>(K12+M12)*'Inndata Bygg'!K15</f>
        <v>0</v>
      </c>
      <c r="S12" s="620">
        <f>SUM(N12:P12)*'Inndata Bygg'!K15</f>
        <v>159.36000000000001</v>
      </c>
      <c r="T12" s="622">
        <f>('Inndata Bygg'!G15+'Inndata Bygg'!O15+'Inndata Bygg'!S15)*'Inndata Bygg'!K15*Transport_utslipp_til_avfallshånderting_per_kg</f>
        <v>159.36000000000001</v>
      </c>
      <c r="U12" s="617">
        <f>IF('Inndata Bygg'!E15 = 0, 0, 1.833*'Inndata Bygg'!X15*'Inndata Bygg'!K15*('Inndata Bygg'!G15*('Inndata Bygg'!L15*0.5+'Inndata Bygg'!M15*0.8) + (12/44)*('Inndata Bygg'!O15*'Inndata Bygg'!Q15+'Inndata Bygg'!S15*'Inndata Bygg'!U15)))</f>
        <v>0</v>
      </c>
      <c r="V12" s="623" cm="1">
        <f t="array" ref="V12">CalculateBiogenicCarbonUptake('ZERO-B Beregning'!$D$17,'Inndata Bygg'!H15,'Inndata Bygg'!G15,'Inndata Bygg'!L15,F12,AB12,AC12,AD12)</f>
        <v>0</v>
      </c>
      <c r="W12" s="624" cm="1">
        <f t="array" ref="W12">CalculateCementCarbonUptake('ZERO-B Beregning'!$D$17,'Inndata Bygg'!H15,'Inndata Bygg'!G15,'Inndata Bygg'!N15)</f>
        <v>-3203.6915710478311</v>
      </c>
      <c r="X12" s="618" cm="1">
        <f t="array" ref="X12">IF(SUM(F12:J12,L12)=0, 0, SUM(F12:J12,L12)*(1+'Inndata Bygg'!K15)*IF('Inndata Bygg'!H15&gt;50, 0, _xlfn.XLOOKUP('Inndata Bygg'!H15, År_etter_ferdigstillelse, IF(VALUE(LEFT('Inndata Bygg'!B15, 2))= 49, f_tid_x_f_tek_d_0_037_kumulativ, f_tid_x_f_tek_d_0_01_kumulativ))))</f>
        <v>0</v>
      </c>
      <c r="Y12" s="617">
        <f>IF(X12=0, 0, SUM(K12,M12)*(1+'Inndata Bygg'!K15)*IF('Inndata Bygg'!H15&gt;50, 0, _xlfn.XLOOKUP('Inndata Bygg'!H15, År_etter_ferdigstillelse, f_tid_x_f_tek_d_0_01_kumulativ)))</f>
        <v>0</v>
      </c>
      <c r="Z12" s="625">
        <f>IF(X12=0, 0, SUM(N12:P12)*(1+'Inndata Bygg'!K15)*IF('Inndata Bygg'!H15&gt;50, 0, _xlfn.XLOOKUP('Inndata Bygg'!H15, År_etter_ferdigstillelse, f_tid_x_f_tek_d_0_01_kumulativ)))</f>
        <v>0</v>
      </c>
      <c r="AA12" s="625">
        <f>IF(X12=0, 0, ('Inndata Bygg'!G15+'Inndata Bygg'!O15+'Inndata Bygg'!S15)*(1+'Inndata Bygg'!K15)*Transport_utslipp_til_avfallshånderting_per_kg*IF('Inndata Bygg'!H15&gt;50, 0, _xlfn.XLOOKUP('Inndata Bygg'!H15, År_etter_ferdigstillelse, f_tid_x_f_tek_d_0_01_kumulativ)))</f>
        <v>0</v>
      </c>
      <c r="AB12" s="626" cm="1">
        <f t="array" ref="AB12">CalculateEmissionsFromIncinerationOfWaste('ZERO-B Beregning'!$D$17,'Inndata Bygg'!H15,'Inndata Bygg'!G15,'Inndata Bygg'!X15,'Inndata Bygg'!L15,'Inndata Bygg'!M15,'Inndata Bygg'!B15)</f>
        <v>0</v>
      </c>
      <c r="AC12" s="623">
        <f>IF(('Inndata Bygg'!G15+'Inndata Bygg'!O15+'Inndata Bygg'!S15) = 0, 0,('Inndata Bygg'!G15+'Inndata Bygg'!O15+'Inndata Bygg'!S15)*(('Inndata Bygg'!X15+'Inndata Bygg'!Y15+'Inndata Bygg'!AA15)*Transport_utslipp_til_avfallshånderting_per_kg+('Inndata Bygg'!Z15*'ZERO-B Beregning'!D114/1000)*IF('ZERO-B Beregning'!F115=0,'ZERO-B Beregning'!D115,'ZERO-B Beregning'!F115))*_xlfn.XLOOKUP(51, År_etter_ferdigstillelse, f_tid_x_f_tek_d_0_01))</f>
        <v>1102.5146209430607</v>
      </c>
      <c r="AD12" s="627">
        <f>IF(('Inndata Bygg'!G15+'Inndata Bygg'!O15+'Inndata Bygg'!S15) = 0, 0,1.833*('Inndata Bygg'!G15*('Inndata Bygg'!L15*0.5+'Inndata Bygg'!M15*0.8)+'Inndata Bygg'!O15*'Inndata Bygg'!Q15+'Inndata Bygg'!S15*'Inndata Bygg'!U15)*AG12*_xlfn.XLOOKUP(51, År_etter_ferdigstillelse,  f_tid_x_f_tek_d_0_01))</f>
        <v>0</v>
      </c>
      <c r="AE12" s="628" cm="1">
        <f t="array" ref="AE12">CalculateEmissionsReductionFromReuse('ZERO-B Beregning'!$D$17,'Inndata Bygg'!H15,'Inndata Bygg'!G15,'Inndata Bygg'!Z15,'Inndata Bygg'!X15,'Inndata Bygg'!Y15,F12,'Inndata Bygg'!B15)</f>
        <v>-4211.5094440415032</v>
      </c>
      <c r="AF12" s="621" cm="1">
        <f t="array" ref="AF12">CalculateEmissionReductionFromRecycling('ZERO-B Beregning'!$D$17,'Inndata Bygg'!H15,'Inndata Bygg'!G15,'Inndata Bygg'!AA15,'Inndata Bygg'!X15,'Inndata Bygg'!Y15,F12,'Inndata Bygg'!B15)</f>
        <v>-526.4386805051879</v>
      </c>
      <c r="AG12" s="629">
        <f>IF(('Inndata Bygg'!G15+'Inndata Bygg'!O15+'Inndata Bygg'!S15) = 0, 0,'Inndata Bygg'!X15*Faktorer!$Z$58)</f>
        <v>0</v>
      </c>
      <c r="AH12" s="630">
        <f>IF(('Inndata Bygg'!G15+'Inndata Bygg'!O15+'Inndata Bygg'!S15) = 0, 0,'Inndata Bygg'!Z15+('Inndata Bygg'!X15+'Inndata Bygg'!Y15)*(1-Faktorer!$Z$58)*0.5)</f>
        <v>0.41171165564193307</v>
      </c>
      <c r="AI12" s="631">
        <f>IF(('Inndata Bygg'!G15+'Inndata Bygg'!O15+'Inndata Bygg'!S15) = 0, 0,'Inndata Bygg'!AA15+('Inndata Bygg'!X15+'Inndata Bygg'!Y15)*(1-Faktorer!$Z$58)*0.5)</f>
        <v>0.41171165564193307</v>
      </c>
      <c r="AJ12" s="697"/>
      <c r="AK12" s="632">
        <f>F12</f>
        <v>36250.86</v>
      </c>
      <c r="AL12" s="633">
        <f>'Resultater detaljert Bygg'!N12</f>
        <v>3187.2</v>
      </c>
      <c r="AM12" s="633">
        <f>IF(F12=0,"",('Inndata Bygg'!E15+'Inndata Bygg'!F15)*ROUNDDOWN('Inndata Bygg'!I15,0)*(1+'Inndata Bygg'!K15))</f>
        <v>0</v>
      </c>
    </row>
    <row r="13" spans="1:42" s="183" customFormat="1">
      <c r="B13" s="339">
        <f>'Inndata Bygg'!B16</f>
        <v>0</v>
      </c>
      <c r="C13" s="340">
        <f>'Inndata Bygg'!C16</f>
        <v>0</v>
      </c>
      <c r="D13" s="341">
        <f>'Inndata Bygg'!D16</f>
        <v>0</v>
      </c>
      <c r="E13" s="421" cm="1">
        <f t="array" ref="E13">SUM(IFERROR(F13:AD13,0))</f>
        <v>0</v>
      </c>
      <c r="F13" s="330">
        <f>'Inndata Bygg'!E16</f>
        <v>0</v>
      </c>
      <c r="G13" s="330">
        <f>IF('Inndata Bygg'!AB16="Ja", -0.8*'Resultater detaljert Bygg'!F13, 0)</f>
        <v>0</v>
      </c>
      <c r="H13" s="330">
        <f>IF('Inndata Bygg'!AC16="Ja", -0.4*'Resultater detaljert Bygg'!$F13, 0)</f>
        <v>0</v>
      </c>
      <c r="I13" s="330">
        <f>IF('Inndata Bygg'!AD16="Ja", -1*'Resultater detaljert Bygg'!$F13, 0)</f>
        <v>0</v>
      </c>
      <c r="J13" s="330">
        <f>'Inndata Bygg'!O16*'Inndata Bygg'!P16</f>
        <v>0</v>
      </c>
      <c r="K13" s="330">
        <f>MAX(-0.75*(SUM('Resultater detaljert Bygg'!F13:J13)),-'Inndata Bygg'!O16*'Inndata Bygg'!Q16)</f>
        <v>0</v>
      </c>
      <c r="L13" s="330">
        <f>'Inndata Bygg'!S16*'Inndata Bygg'!T16</f>
        <v>0</v>
      </c>
      <c r="M13" s="330">
        <f>MAX(-0.75*(SUM('Resultater detaljert Bygg'!F13:I13,L13)),-'Inndata Bygg'!S16*'Inndata Bygg'!U16)</f>
        <v>0</v>
      </c>
      <c r="N13" s="331">
        <f>'Inndata Bygg'!F16</f>
        <v>0</v>
      </c>
      <c r="O13" s="330">
        <f>'Inndata Bygg'!O16*'Inndata Bygg'!R16</f>
        <v>0</v>
      </c>
      <c r="P13" s="332">
        <f>'Inndata Bygg'!S16*'Inndata Bygg'!V16</f>
        <v>0</v>
      </c>
      <c r="Q13" s="493">
        <f>SUM(F13:J13,L13)*'Inndata Bygg'!K16</f>
        <v>0</v>
      </c>
      <c r="R13" s="333">
        <f>(K13+M13)*'Inndata Bygg'!K16</f>
        <v>0</v>
      </c>
      <c r="S13" s="493">
        <f>N13*'Inndata Bygg'!K16</f>
        <v>0</v>
      </c>
      <c r="T13" s="494">
        <f>'Inndata Bygg'!G16*'Inndata Bygg'!K16*Transport_utslipp_til_avfallshånderting_per_kg</f>
        <v>0</v>
      </c>
      <c r="U13" s="330">
        <f>IF('Inndata Bygg'!E16 = 0, 0, 1.833*'Inndata Bygg'!X16*'Inndata Bygg'!K16*('Inndata Bygg'!G16*('Inndata Bygg'!L16*0.5+'Inndata Bygg'!M16*0.8) + (12/44)*('Inndata Bygg'!O16*'Inndata Bygg'!Q16+'Inndata Bygg'!S16*'Inndata Bygg'!U16)))</f>
        <v>0</v>
      </c>
      <c r="V13" s="335" cm="1">
        <f t="array" ref="V13">CalculateBiogenicCarbonUptake('ZERO-B Beregning'!$D$17,'Inndata Bygg'!H16,'Inndata Bygg'!G16,'Inndata Bygg'!L16,F13,AB13,AC13,AD13)</f>
        <v>0</v>
      </c>
      <c r="W13" s="576" cm="1">
        <f t="array" ref="W13">CalculateCementCarbonUptake('ZERO-B Beregning'!$D$17,'Inndata Bygg'!H16,'Inndata Bygg'!G16,'Inndata Bygg'!N16)</f>
        <v>0</v>
      </c>
      <c r="X13" s="331" cm="1">
        <f t="array" ref="X13">IF(SUM(F13:J13,L13)=0, 0, SUM(F13:J13,L13)*(1+'Inndata Bygg'!K16)*IF('Inndata Bygg'!H16&gt;50, 0, _xlfn.XLOOKUP('Inndata Bygg'!H16, År_etter_ferdigstillelse, IF(VALUE(LEFT('Inndata Bygg'!B16, 2))= 49, f_tid_x_f_tek_d_0_037_kumulativ, f_tid_x_f_tek_d_0_01_kumulativ))))</f>
        <v>0</v>
      </c>
      <c r="Y13" s="330">
        <f>IF(X13=0, 0, SUM(K13,M13)*(1+'Inndata Bygg'!K16)*IF('Inndata Bygg'!H16&gt;50, 0, _xlfn.XLOOKUP('Inndata Bygg'!H16, År_etter_ferdigstillelse, f_tid_x_f_tek_d_0_01_kumulativ)))</f>
        <v>0</v>
      </c>
      <c r="Z13" s="336">
        <f>IF(X13=0, 0, SUM(N13:P13)*(1+'Inndata Bygg'!K16)*IF('Inndata Bygg'!H16&gt;50, 0, _xlfn.XLOOKUP('Inndata Bygg'!H16, År_etter_ferdigstillelse, f_tid_x_f_tek_d_0_01_kumulativ)))</f>
        <v>0</v>
      </c>
      <c r="AA13" s="336">
        <f>IF(X13=0, 0, ('Inndata Bygg'!G16+'Inndata Bygg'!O16+'Inndata Bygg'!S16)*(1+'Inndata Bygg'!K16)*Transport_utslipp_til_avfallshånderting_per_kg*IF('Inndata Bygg'!H16&gt;50, 0, _xlfn.XLOOKUP('Inndata Bygg'!H16, År_etter_ferdigstillelse, f_tid_x_f_tek_d_0_01_kumulativ)))</f>
        <v>0</v>
      </c>
      <c r="AB13" s="580" cm="1">
        <f t="array" ref="AB13">CalculateEmissionsFromIncinerationOfWaste('ZERO-B Beregning'!$D$17,'Inndata Bygg'!H16,'Inndata Bygg'!G16,'Inndata Bygg'!X16,'Inndata Bygg'!L16,'Inndata Bygg'!M16,'Inndata Bygg'!B16)</f>
        <v>0</v>
      </c>
      <c r="AC13" s="335">
        <f>IF(('Inndata Bygg'!G16+'Inndata Bygg'!O16+'Inndata Bygg'!S16) = 0, 0,('Inndata Bygg'!G16+'Inndata Bygg'!O16+'Inndata Bygg'!S16)*(('Inndata Bygg'!X16+'Inndata Bygg'!Y16+'Inndata Bygg'!AA16)*Transport_utslipp_til_avfallshånderting_per_kg+('Inndata Bygg'!Z16*'ZERO-B Beregning'!D115/1000)*IF('ZERO-B Beregning'!F116=0,'ZERO-B Beregning'!D116,'ZERO-B Beregning'!F116))*_xlfn.XLOOKUP(51, År_etter_ferdigstillelse, f_tid_x_f_tek_d_0_01))</f>
        <v>0</v>
      </c>
      <c r="AD13" s="577">
        <f>IF(('Inndata Bygg'!G16+'Inndata Bygg'!O16+'Inndata Bygg'!S16) = 0, 0,1.833*('Inndata Bygg'!G16*('Inndata Bygg'!L16*0.5+'Inndata Bygg'!M16*0.8)+'Inndata Bygg'!O16*'Inndata Bygg'!Q16+'Inndata Bygg'!S16*'Inndata Bygg'!U16)*AG13*_xlfn.XLOOKUP(51, År_etter_ferdigstillelse,  f_tid_x_f_tek_d_0_01))</f>
        <v>0</v>
      </c>
      <c r="AE13" s="575" cm="1">
        <f t="array" ref="AE13">CalculateEmissionsReductionFromReuse('ZERO-B Beregning'!$D$17,'Inndata Bygg'!H16,'Inndata Bygg'!G16,'Inndata Bygg'!Z16,'Inndata Bygg'!X16,'Inndata Bygg'!Y16,F13,'Inndata Bygg'!B16)</f>
        <v>0</v>
      </c>
      <c r="AF13" s="333" cm="1">
        <f t="array" ref="AF13">CalculateEmissionReductionFromRecycling('ZERO-B Beregning'!$D$17,'Inndata Bygg'!H16,'Inndata Bygg'!G16,'Inndata Bygg'!AA16,'Inndata Bygg'!X16,'Inndata Bygg'!Y16,F13,'Inndata Bygg'!B16)</f>
        <v>0</v>
      </c>
      <c r="AG13" s="572">
        <f>IF(('Inndata Bygg'!G16+'Inndata Bygg'!O16+'Inndata Bygg'!S16) = 0, 0,'Inndata Bygg'!X16*Faktorer!$Z$58)</f>
        <v>0</v>
      </c>
      <c r="AH13" s="573">
        <f>IF(('Inndata Bygg'!G16+'Inndata Bygg'!O16+'Inndata Bygg'!S16) = 0, 0,'Inndata Bygg'!Z16+('Inndata Bygg'!X16+'Inndata Bygg'!Y16)*(1-Faktorer!$Z$58)*0.5)</f>
        <v>0</v>
      </c>
      <c r="AI13" s="574">
        <f>IF(('Inndata Bygg'!G16+'Inndata Bygg'!O16+'Inndata Bygg'!S16) = 0, 0,'Inndata Bygg'!AA16+('Inndata Bygg'!X16+'Inndata Bygg'!Y16)*(1-Faktorer!$Z$58)*0.5)</f>
        <v>0</v>
      </c>
      <c r="AJ13" s="634"/>
      <c r="AK13" s="90">
        <f t="shared" ref="AK13" si="1">F13</f>
        <v>0</v>
      </c>
      <c r="AL13" s="91">
        <f>'Resultater detaljert Bygg'!N13</f>
        <v>0</v>
      </c>
      <c r="AM13" s="91" t="str">
        <f>IF(F13=0,"",('Inndata Bygg'!E16+'Inndata Bygg'!F16)*ROUNDDOWN('Inndata Bygg'!I16,0)*(1+'Inndata Bygg'!K16))</f>
        <v/>
      </c>
    </row>
    <row r="14" spans="1:42" s="183" customFormat="1">
      <c r="B14" s="339">
        <f>'Inndata Bygg'!B17</f>
        <v>0</v>
      </c>
      <c r="C14" s="340">
        <f>'Inndata Bygg'!C17</f>
        <v>0</v>
      </c>
      <c r="D14" s="341">
        <f>'Inndata Bygg'!D17</f>
        <v>0</v>
      </c>
      <c r="E14" s="421" cm="1">
        <f t="array" ref="E14">SUM(IFERROR(F14:AD14,0))</f>
        <v>0</v>
      </c>
      <c r="F14" s="330">
        <f>'Inndata Bygg'!E17</f>
        <v>0</v>
      </c>
      <c r="G14" s="330">
        <f>IF('Inndata Bygg'!AB17="Ja", -0.8*'Resultater detaljert Bygg'!F14, 0)</f>
        <v>0</v>
      </c>
      <c r="H14" s="330">
        <f>IF('Inndata Bygg'!AC17="Ja", -0.4*'Resultater detaljert Bygg'!$F14, 0)</f>
        <v>0</v>
      </c>
      <c r="I14" s="330">
        <f>IF('Inndata Bygg'!AD17="Ja", -1*'Resultater detaljert Bygg'!$F14, 0)</f>
        <v>0</v>
      </c>
      <c r="J14" s="330">
        <f>'Inndata Bygg'!O17*'Inndata Bygg'!P17</f>
        <v>0</v>
      </c>
      <c r="K14" s="330">
        <f>MAX(-0.75*(SUM('Resultater detaljert Bygg'!F14:J14)),-'Inndata Bygg'!O17*'Inndata Bygg'!Q17)</f>
        <v>0</v>
      </c>
      <c r="L14" s="330">
        <f>'Inndata Bygg'!S17*'Inndata Bygg'!T17</f>
        <v>0</v>
      </c>
      <c r="M14" s="330">
        <f>MAX(-0.75*(SUM('Resultater detaljert Bygg'!F14:I14,L14)),-'Inndata Bygg'!S17*'Inndata Bygg'!U17)</f>
        <v>0</v>
      </c>
      <c r="N14" s="331">
        <f>'Inndata Bygg'!F17</f>
        <v>0</v>
      </c>
      <c r="O14" s="330">
        <f>'Inndata Bygg'!O17*'Inndata Bygg'!R17</f>
        <v>0</v>
      </c>
      <c r="P14" s="332">
        <f>'Inndata Bygg'!S17*'Inndata Bygg'!V17</f>
        <v>0</v>
      </c>
      <c r="Q14" s="493">
        <f>SUM(F14:J14,L14)*'Inndata Bygg'!K17</f>
        <v>0</v>
      </c>
      <c r="R14" s="333">
        <f>(K14+M14)*'Inndata Bygg'!K17</f>
        <v>0</v>
      </c>
      <c r="S14" s="493">
        <f>N14*'Inndata Bygg'!K17</f>
        <v>0</v>
      </c>
      <c r="T14" s="494">
        <f>'Inndata Bygg'!G17*'Inndata Bygg'!K17*Transport_utslipp_til_avfallshånderting_per_kg</f>
        <v>0</v>
      </c>
      <c r="U14" s="330">
        <f>IF('Inndata Bygg'!E17 = 0, 0, 1.833*'Inndata Bygg'!X17*'Inndata Bygg'!K17*('Inndata Bygg'!G17*('Inndata Bygg'!L17*0.5+'Inndata Bygg'!M17*0.8) + (12/44)*('Inndata Bygg'!O17*'Inndata Bygg'!Q17+'Inndata Bygg'!S17*'Inndata Bygg'!U17)))</f>
        <v>0</v>
      </c>
      <c r="V14" s="335" cm="1">
        <f t="array" ref="V14">CalculateBiogenicCarbonUptake('ZERO-B Beregning'!$D$17,'Inndata Bygg'!H17,'Inndata Bygg'!G17,'Inndata Bygg'!L17,F14,AB14,AC14,AD14)</f>
        <v>0</v>
      </c>
      <c r="W14" s="576" cm="1">
        <f t="array" ref="W14">CalculateCementCarbonUptake('ZERO-B Beregning'!$D$17,'Inndata Bygg'!H17,'Inndata Bygg'!G17,'Inndata Bygg'!N17)</f>
        <v>0</v>
      </c>
      <c r="X14" s="331" cm="1">
        <f t="array" ref="X14">IF(SUM(F14:J14,L14)=0, 0, SUM(F14:J14,L14)*(1+'Inndata Bygg'!K17)*IF('Inndata Bygg'!H17&gt;50, 0, _xlfn.XLOOKUP('Inndata Bygg'!H17, År_etter_ferdigstillelse, IF(VALUE(LEFT('Inndata Bygg'!B17, 2))= 49, f_tid_x_f_tek_d_0_037_kumulativ, f_tid_x_f_tek_d_0_01_kumulativ))))</f>
        <v>0</v>
      </c>
      <c r="Y14" s="330">
        <f>IF(X14=0, 0, SUM(K14,M14)*(1+'Inndata Bygg'!K17)*IF('Inndata Bygg'!H17&gt;50, 0, _xlfn.XLOOKUP('Inndata Bygg'!H17, År_etter_ferdigstillelse, f_tid_x_f_tek_d_0_01_kumulativ)))</f>
        <v>0</v>
      </c>
      <c r="Z14" s="336">
        <f>IF(X14=0, 0, SUM(N14:P14)*(1+'Inndata Bygg'!K17)*IF('Inndata Bygg'!H17&gt;50, 0, _xlfn.XLOOKUP('Inndata Bygg'!H17, År_etter_ferdigstillelse, f_tid_x_f_tek_d_0_01_kumulativ)))</f>
        <v>0</v>
      </c>
      <c r="AA14" s="336">
        <f>IF(X14=0, 0, ('Inndata Bygg'!G17+'Inndata Bygg'!O17+'Inndata Bygg'!S17)*(1+'Inndata Bygg'!K17)*Transport_utslipp_til_avfallshånderting_per_kg*IF('Inndata Bygg'!H17&gt;50, 0, _xlfn.XLOOKUP('Inndata Bygg'!H17, År_etter_ferdigstillelse, f_tid_x_f_tek_d_0_01_kumulativ)))</f>
        <v>0</v>
      </c>
      <c r="AB14" s="580" cm="1">
        <f t="array" ref="AB14">CalculateEmissionsFromIncinerationOfWaste('ZERO-B Beregning'!$D$17,'Inndata Bygg'!H17,'Inndata Bygg'!G17,'Inndata Bygg'!X17,'Inndata Bygg'!L17,'Inndata Bygg'!M17,'Inndata Bygg'!B17)</f>
        <v>0</v>
      </c>
      <c r="AC14" s="335">
        <f>IF(('Inndata Bygg'!G17+'Inndata Bygg'!O17+'Inndata Bygg'!S17) = 0, 0,('Inndata Bygg'!G17+'Inndata Bygg'!O17+'Inndata Bygg'!S17)*(('Inndata Bygg'!X17+'Inndata Bygg'!Y17+'Inndata Bygg'!AA17)*Transport_utslipp_til_avfallshånderting_per_kg+('Inndata Bygg'!Z17*'ZERO-B Beregning'!D116/1000)*IF('ZERO-B Beregning'!F117=0,'ZERO-B Beregning'!D117,'ZERO-B Beregning'!F117))*_xlfn.XLOOKUP(51, År_etter_ferdigstillelse, f_tid_x_f_tek_d_0_01))</f>
        <v>0</v>
      </c>
      <c r="AD14" s="577">
        <f>IF(('Inndata Bygg'!G17+'Inndata Bygg'!O17+'Inndata Bygg'!S17) = 0, 0,1.833*('Inndata Bygg'!G17*('Inndata Bygg'!L17*0.5+'Inndata Bygg'!M17*0.8)+'Inndata Bygg'!O17*'Inndata Bygg'!Q17+'Inndata Bygg'!S17*'Inndata Bygg'!U17)*AG14*_xlfn.XLOOKUP(51, År_etter_ferdigstillelse,  f_tid_x_f_tek_d_0_01))</f>
        <v>0</v>
      </c>
      <c r="AE14" s="575" cm="1">
        <f t="array" ref="AE14">CalculateEmissionsReductionFromReuse('ZERO-B Beregning'!$D$17,'Inndata Bygg'!H17,'Inndata Bygg'!G17,'Inndata Bygg'!Z17,'Inndata Bygg'!X17,'Inndata Bygg'!Y17,F14,'Inndata Bygg'!B17)</f>
        <v>0</v>
      </c>
      <c r="AF14" s="333" cm="1">
        <f t="array" ref="AF14">CalculateEmissionReductionFromRecycling('ZERO-B Beregning'!$D$17,'Inndata Bygg'!H17,'Inndata Bygg'!G17,'Inndata Bygg'!AA17,'Inndata Bygg'!X17,'Inndata Bygg'!Y17,F14,'Inndata Bygg'!B17)</f>
        <v>0</v>
      </c>
      <c r="AG14" s="572">
        <f>IF(('Inndata Bygg'!G17+'Inndata Bygg'!O17+'Inndata Bygg'!S17) = 0, 0,'Inndata Bygg'!X17*Faktorer!$Z$58)</f>
        <v>0</v>
      </c>
      <c r="AH14" s="573">
        <f>IF(('Inndata Bygg'!G17+'Inndata Bygg'!O17+'Inndata Bygg'!S17) = 0, 0,'Inndata Bygg'!Z17+('Inndata Bygg'!X17+'Inndata Bygg'!Y17)*(1-Faktorer!$Z$58)*0.5)</f>
        <v>0</v>
      </c>
      <c r="AI14" s="574">
        <f>IF(('Inndata Bygg'!G17+'Inndata Bygg'!O17+'Inndata Bygg'!S17) = 0, 0,'Inndata Bygg'!AA17+('Inndata Bygg'!X17+'Inndata Bygg'!Y17)*(1-Faktorer!$Z$58)*0.5)</f>
        <v>0</v>
      </c>
      <c r="AJ14" s="634"/>
      <c r="AK14" s="90">
        <f t="shared" ref="AK14:AK77" si="2">F14</f>
        <v>0</v>
      </c>
      <c r="AL14" s="91">
        <f>'Resultater detaljert Bygg'!N14</f>
        <v>0</v>
      </c>
      <c r="AM14" s="91" t="str">
        <f>IF(F14=0,"",('Inndata Bygg'!E17+'Inndata Bygg'!F17)*ROUNDDOWN('Inndata Bygg'!I17,0)*(1+'Inndata Bygg'!K17))</f>
        <v/>
      </c>
    </row>
    <row r="15" spans="1:42" s="183" customFormat="1">
      <c r="B15" s="339">
        <f>'Inndata Bygg'!B18</f>
        <v>0</v>
      </c>
      <c r="C15" s="340">
        <f>'Inndata Bygg'!C18</f>
        <v>0</v>
      </c>
      <c r="D15" s="341">
        <f>'Inndata Bygg'!D18</f>
        <v>0</v>
      </c>
      <c r="E15" s="421" cm="1">
        <f t="array" ref="E15">SUM(IFERROR(F15:AD15,0))</f>
        <v>0</v>
      </c>
      <c r="F15" s="330">
        <f>'Inndata Bygg'!E18</f>
        <v>0</v>
      </c>
      <c r="G15" s="330">
        <f>IF('Inndata Bygg'!AB18="Ja", -0.8*'Resultater detaljert Bygg'!F15, 0)</f>
        <v>0</v>
      </c>
      <c r="H15" s="330">
        <f>IF('Inndata Bygg'!AC18="Ja", -0.4*'Resultater detaljert Bygg'!$F15, 0)</f>
        <v>0</v>
      </c>
      <c r="I15" s="330">
        <f>IF('Inndata Bygg'!AD18="Ja", -1*'Resultater detaljert Bygg'!$F15, 0)</f>
        <v>0</v>
      </c>
      <c r="J15" s="330">
        <f>'Inndata Bygg'!O18*'Inndata Bygg'!P18</f>
        <v>0</v>
      </c>
      <c r="K15" s="330">
        <f>MAX(-0.75*(SUM('Resultater detaljert Bygg'!F15:J15)),-'Inndata Bygg'!O18*'Inndata Bygg'!Q18)</f>
        <v>0</v>
      </c>
      <c r="L15" s="330">
        <f>'Inndata Bygg'!S18*'Inndata Bygg'!T18</f>
        <v>0</v>
      </c>
      <c r="M15" s="330">
        <f>MAX(-0.75*(SUM('Resultater detaljert Bygg'!F15:I15,L15)),-'Inndata Bygg'!S18*'Inndata Bygg'!U18)</f>
        <v>0</v>
      </c>
      <c r="N15" s="331">
        <f>'Inndata Bygg'!F18</f>
        <v>0</v>
      </c>
      <c r="O15" s="330">
        <f>'Inndata Bygg'!O18*'Inndata Bygg'!R18</f>
        <v>0</v>
      </c>
      <c r="P15" s="332">
        <f>'Inndata Bygg'!S18*'Inndata Bygg'!V18</f>
        <v>0</v>
      </c>
      <c r="Q15" s="493">
        <f>SUM(F15:J15,L15)*'Inndata Bygg'!K18</f>
        <v>0</v>
      </c>
      <c r="R15" s="333">
        <f>(K15+M15)*'Inndata Bygg'!K18</f>
        <v>0</v>
      </c>
      <c r="S15" s="493">
        <f>N15*'Inndata Bygg'!K18</f>
        <v>0</v>
      </c>
      <c r="T15" s="494">
        <f>'Inndata Bygg'!G18*'Inndata Bygg'!K18*Transport_utslipp_til_avfallshånderting_per_kg</f>
        <v>0</v>
      </c>
      <c r="U15" s="330">
        <f>IF('Inndata Bygg'!E18 = 0, 0, 1.833*'Inndata Bygg'!X18*'Inndata Bygg'!K18*('Inndata Bygg'!G18*('Inndata Bygg'!L18*0.5+'Inndata Bygg'!M18*0.8) + (12/44)*('Inndata Bygg'!O18*'Inndata Bygg'!Q18+'Inndata Bygg'!S18*'Inndata Bygg'!U18)))</f>
        <v>0</v>
      </c>
      <c r="V15" s="335" cm="1">
        <f t="array" ref="V15">CalculateBiogenicCarbonUptake('ZERO-B Beregning'!$D$17,'Inndata Bygg'!H18,'Inndata Bygg'!G18,'Inndata Bygg'!L18,F15,AB15,AC15,AD15)</f>
        <v>0</v>
      </c>
      <c r="W15" s="576" cm="1">
        <f t="array" ref="W15">CalculateCementCarbonUptake('ZERO-B Beregning'!$D$17,'Inndata Bygg'!H18,'Inndata Bygg'!G18,'Inndata Bygg'!N18)</f>
        <v>0</v>
      </c>
      <c r="X15" s="331" cm="1">
        <f t="array" ref="X15">IF(SUM(F15:J15,L15)=0, 0, SUM(F15:J15,L15)*(1+'Inndata Bygg'!K18)*IF('Inndata Bygg'!H18&gt;50, 0, _xlfn.XLOOKUP('Inndata Bygg'!H18, År_etter_ferdigstillelse, IF(VALUE(LEFT('Inndata Bygg'!B18, 2))= 49, f_tid_x_f_tek_d_0_037_kumulativ, f_tid_x_f_tek_d_0_01_kumulativ))))</f>
        <v>0</v>
      </c>
      <c r="Y15" s="330">
        <f>IF(X15=0, 0, SUM(K15,M15)*(1+'Inndata Bygg'!K18)*IF('Inndata Bygg'!H18&gt;50, 0, _xlfn.XLOOKUP('Inndata Bygg'!H18, År_etter_ferdigstillelse, f_tid_x_f_tek_d_0_01_kumulativ)))</f>
        <v>0</v>
      </c>
      <c r="Z15" s="336">
        <f>IF(X15=0, 0, SUM(N15:P15)*(1+'Inndata Bygg'!K18)*IF('Inndata Bygg'!H18&gt;50, 0, _xlfn.XLOOKUP('Inndata Bygg'!H18, År_etter_ferdigstillelse, f_tid_x_f_tek_d_0_01_kumulativ)))</f>
        <v>0</v>
      </c>
      <c r="AA15" s="336">
        <f>IF(X15=0, 0, ('Inndata Bygg'!G18+'Inndata Bygg'!O18+'Inndata Bygg'!S18)*(1+'Inndata Bygg'!K18)*Transport_utslipp_til_avfallshånderting_per_kg*IF('Inndata Bygg'!H18&gt;50, 0, _xlfn.XLOOKUP('Inndata Bygg'!H18, År_etter_ferdigstillelse, f_tid_x_f_tek_d_0_01_kumulativ)))</f>
        <v>0</v>
      </c>
      <c r="AB15" s="580" cm="1">
        <f t="array" ref="AB15">CalculateEmissionsFromIncinerationOfWaste('ZERO-B Beregning'!$D$17,'Inndata Bygg'!H18,'Inndata Bygg'!G18,'Inndata Bygg'!X18,'Inndata Bygg'!L18,'Inndata Bygg'!M18,'Inndata Bygg'!B18)</f>
        <v>0</v>
      </c>
      <c r="AC15" s="335">
        <f>IF(('Inndata Bygg'!G18+'Inndata Bygg'!O18+'Inndata Bygg'!S18) = 0, 0,('Inndata Bygg'!G18+'Inndata Bygg'!O18+'Inndata Bygg'!S18)*(('Inndata Bygg'!X18+'Inndata Bygg'!Y18+'Inndata Bygg'!AA18)*Transport_utslipp_til_avfallshånderting_per_kg+('Inndata Bygg'!Z18*'ZERO-B Beregning'!D117/1000)*IF('ZERO-B Beregning'!F118=0,'ZERO-B Beregning'!D118,'ZERO-B Beregning'!F118))*_xlfn.XLOOKUP(51, År_etter_ferdigstillelse, f_tid_x_f_tek_d_0_01))</f>
        <v>0</v>
      </c>
      <c r="AD15" s="577">
        <f>IF(('Inndata Bygg'!G18+'Inndata Bygg'!O18+'Inndata Bygg'!S18) = 0, 0,1.833*('Inndata Bygg'!G18*('Inndata Bygg'!L18*0.5+'Inndata Bygg'!M18*0.8)+'Inndata Bygg'!O18*'Inndata Bygg'!Q18+'Inndata Bygg'!S18*'Inndata Bygg'!U18)*AG15*_xlfn.XLOOKUP(51, År_etter_ferdigstillelse,  f_tid_x_f_tek_d_0_01))</f>
        <v>0</v>
      </c>
      <c r="AE15" s="575" cm="1">
        <f t="array" ref="AE15">CalculateEmissionsReductionFromReuse('ZERO-B Beregning'!$D$17,'Inndata Bygg'!H18,'Inndata Bygg'!G18,'Inndata Bygg'!Z18,'Inndata Bygg'!X18,'Inndata Bygg'!Y18,F15,'Inndata Bygg'!B18)</f>
        <v>0</v>
      </c>
      <c r="AF15" s="333" cm="1">
        <f t="array" ref="AF15">CalculateEmissionReductionFromRecycling('ZERO-B Beregning'!$D$17,'Inndata Bygg'!H18,'Inndata Bygg'!G18,'Inndata Bygg'!AA18,'Inndata Bygg'!X18,'Inndata Bygg'!Y18,F15,'Inndata Bygg'!B18)</f>
        <v>0</v>
      </c>
      <c r="AG15" s="572">
        <f>IF(('Inndata Bygg'!G18+'Inndata Bygg'!O18+'Inndata Bygg'!S18) = 0, 0,'Inndata Bygg'!X18*Faktorer!$Z$58)</f>
        <v>0</v>
      </c>
      <c r="AH15" s="573">
        <f>IF(('Inndata Bygg'!G18+'Inndata Bygg'!O18+'Inndata Bygg'!S18) = 0, 0,'Inndata Bygg'!Z18+('Inndata Bygg'!X18+'Inndata Bygg'!Y18)*(1-Faktorer!$Z$58)*0.5)</f>
        <v>0</v>
      </c>
      <c r="AI15" s="574">
        <f>IF(('Inndata Bygg'!G18+'Inndata Bygg'!O18+'Inndata Bygg'!S18) = 0, 0,'Inndata Bygg'!AA18+('Inndata Bygg'!X18+'Inndata Bygg'!Y18)*(1-Faktorer!$Z$58)*0.5)</f>
        <v>0</v>
      </c>
      <c r="AJ15" s="634"/>
      <c r="AK15" s="90">
        <f t="shared" si="2"/>
        <v>0</v>
      </c>
      <c r="AL15" s="91">
        <f>'Resultater detaljert Bygg'!N15</f>
        <v>0</v>
      </c>
      <c r="AM15" s="91" t="str">
        <f>IF(F15=0,"",('Inndata Bygg'!E18+'Inndata Bygg'!F18)*ROUNDDOWN('Inndata Bygg'!I18,0)*(1+'Inndata Bygg'!K18))</f>
        <v/>
      </c>
    </row>
    <row r="16" spans="1:42" s="183" customFormat="1">
      <c r="B16" s="339">
        <f>'Inndata Bygg'!B19</f>
        <v>0</v>
      </c>
      <c r="C16" s="340">
        <f>'Inndata Bygg'!C19</f>
        <v>0</v>
      </c>
      <c r="D16" s="341">
        <f>'Inndata Bygg'!D19</f>
        <v>0</v>
      </c>
      <c r="E16" s="421" cm="1">
        <f t="array" ref="E16">SUM(IFERROR(F16:AD16,0))</f>
        <v>0</v>
      </c>
      <c r="F16" s="330">
        <f>'Inndata Bygg'!E19</f>
        <v>0</v>
      </c>
      <c r="G16" s="330">
        <f>IF('Inndata Bygg'!AB19="Ja", -0.8*'Resultater detaljert Bygg'!F16, 0)</f>
        <v>0</v>
      </c>
      <c r="H16" s="330">
        <f>IF('Inndata Bygg'!AC19="Ja", -0.4*'Resultater detaljert Bygg'!$F16, 0)</f>
        <v>0</v>
      </c>
      <c r="I16" s="330">
        <f>IF('Inndata Bygg'!AD19="Ja", -1*'Resultater detaljert Bygg'!$F16, 0)</f>
        <v>0</v>
      </c>
      <c r="J16" s="330">
        <f>'Inndata Bygg'!O19*'Inndata Bygg'!P19</f>
        <v>0</v>
      </c>
      <c r="K16" s="330">
        <f>MAX(-0.75*(SUM('Resultater detaljert Bygg'!F16:J16)),-'Inndata Bygg'!O19*'Inndata Bygg'!Q19)</f>
        <v>0</v>
      </c>
      <c r="L16" s="330">
        <f>'Inndata Bygg'!S19*'Inndata Bygg'!T19</f>
        <v>0</v>
      </c>
      <c r="M16" s="330">
        <f>MAX(-0.75*(SUM('Resultater detaljert Bygg'!F16:I16,L16)),-'Inndata Bygg'!S19*'Inndata Bygg'!U19)</f>
        <v>0</v>
      </c>
      <c r="N16" s="331">
        <f>'Inndata Bygg'!F19</f>
        <v>0</v>
      </c>
      <c r="O16" s="330">
        <f>'Inndata Bygg'!O19*'Inndata Bygg'!R19</f>
        <v>0</v>
      </c>
      <c r="P16" s="332">
        <f>'Inndata Bygg'!S19*'Inndata Bygg'!V19</f>
        <v>0</v>
      </c>
      <c r="Q16" s="493">
        <f>SUM(F16:J16,L16)*'Inndata Bygg'!K19</f>
        <v>0</v>
      </c>
      <c r="R16" s="333">
        <f>(K16+M16)*'Inndata Bygg'!K19</f>
        <v>0</v>
      </c>
      <c r="S16" s="493">
        <f>N16*'Inndata Bygg'!K19</f>
        <v>0</v>
      </c>
      <c r="T16" s="494">
        <f>'Inndata Bygg'!G19*'Inndata Bygg'!K19*Transport_utslipp_til_avfallshånderting_per_kg</f>
        <v>0</v>
      </c>
      <c r="U16" s="330">
        <f>IF('Inndata Bygg'!E19 = 0, 0, 1.833*'Inndata Bygg'!X19*'Inndata Bygg'!K19*('Inndata Bygg'!G19*('Inndata Bygg'!L19*0.5+'Inndata Bygg'!M19*0.8) + (12/44)*('Inndata Bygg'!O19*'Inndata Bygg'!Q19+'Inndata Bygg'!S19*'Inndata Bygg'!U19)))</f>
        <v>0</v>
      </c>
      <c r="V16" s="335" cm="1">
        <f t="array" ref="V16">CalculateBiogenicCarbonUptake('ZERO-B Beregning'!$D$17,'Inndata Bygg'!H19,'Inndata Bygg'!G19,'Inndata Bygg'!L19,F16,AB16,AC16,AD16)</f>
        <v>0</v>
      </c>
      <c r="W16" s="576" cm="1">
        <f t="array" ref="W16">CalculateCementCarbonUptake('ZERO-B Beregning'!$D$17,'Inndata Bygg'!H19,'Inndata Bygg'!G19,'Inndata Bygg'!N19)</f>
        <v>0</v>
      </c>
      <c r="X16" s="331" cm="1">
        <f t="array" ref="X16">IF(SUM(F16:J16,L16)=0, 0, SUM(F16:J16,L16)*(1+'Inndata Bygg'!K19)*IF('Inndata Bygg'!H19&gt;50, 0, _xlfn.XLOOKUP('Inndata Bygg'!H19, År_etter_ferdigstillelse, IF(VALUE(LEFT('Inndata Bygg'!B19, 2))= 49, f_tid_x_f_tek_d_0_037_kumulativ, f_tid_x_f_tek_d_0_01_kumulativ))))</f>
        <v>0</v>
      </c>
      <c r="Y16" s="330">
        <f>IF(X16=0, 0, SUM(K16,M16)*(1+'Inndata Bygg'!K19)*IF('Inndata Bygg'!H19&gt;50, 0, _xlfn.XLOOKUP('Inndata Bygg'!H19, År_etter_ferdigstillelse, f_tid_x_f_tek_d_0_01_kumulativ)))</f>
        <v>0</v>
      </c>
      <c r="Z16" s="336">
        <f>IF(X16=0, 0, SUM(N16:P16)*(1+'Inndata Bygg'!K19)*IF('Inndata Bygg'!H19&gt;50, 0, _xlfn.XLOOKUP('Inndata Bygg'!H19, År_etter_ferdigstillelse, f_tid_x_f_tek_d_0_01_kumulativ)))</f>
        <v>0</v>
      </c>
      <c r="AA16" s="336">
        <f>IF(X16=0, 0, ('Inndata Bygg'!G19+'Inndata Bygg'!O19+'Inndata Bygg'!S19)*(1+'Inndata Bygg'!K19)*Transport_utslipp_til_avfallshånderting_per_kg*IF('Inndata Bygg'!H19&gt;50, 0, _xlfn.XLOOKUP('Inndata Bygg'!H19, År_etter_ferdigstillelse, f_tid_x_f_tek_d_0_01_kumulativ)))</f>
        <v>0</v>
      </c>
      <c r="AB16" s="580" cm="1">
        <f t="array" ref="AB16">CalculateEmissionsFromIncinerationOfWaste('ZERO-B Beregning'!$D$17,'Inndata Bygg'!H19,'Inndata Bygg'!G19,'Inndata Bygg'!X19,'Inndata Bygg'!L19,'Inndata Bygg'!M19,'Inndata Bygg'!B19)</f>
        <v>0</v>
      </c>
      <c r="AC16" s="335">
        <f>IF(('Inndata Bygg'!G19+'Inndata Bygg'!O19+'Inndata Bygg'!S19) = 0, 0,('Inndata Bygg'!G19+'Inndata Bygg'!O19+'Inndata Bygg'!S19)*(('Inndata Bygg'!X19+'Inndata Bygg'!Y19+'Inndata Bygg'!AA19)*Transport_utslipp_til_avfallshånderting_per_kg+('Inndata Bygg'!Z19*'ZERO-B Beregning'!D118/1000)*IF('ZERO-B Beregning'!F119=0,'ZERO-B Beregning'!D119,'ZERO-B Beregning'!F119))*_xlfn.XLOOKUP(51, År_etter_ferdigstillelse, f_tid_x_f_tek_d_0_01))</f>
        <v>0</v>
      </c>
      <c r="AD16" s="577">
        <f>IF(('Inndata Bygg'!G19+'Inndata Bygg'!O19+'Inndata Bygg'!S19) = 0, 0,1.833*('Inndata Bygg'!G19*('Inndata Bygg'!L19*0.5+'Inndata Bygg'!M19*0.8)+'Inndata Bygg'!O19*'Inndata Bygg'!Q19+'Inndata Bygg'!S19*'Inndata Bygg'!U19)*AG16*_xlfn.XLOOKUP(51, År_etter_ferdigstillelse,  f_tid_x_f_tek_d_0_01))</f>
        <v>0</v>
      </c>
      <c r="AE16" s="575" cm="1">
        <f t="array" ref="AE16">CalculateEmissionsReductionFromReuse('ZERO-B Beregning'!$D$17,'Inndata Bygg'!H19,'Inndata Bygg'!G19,'Inndata Bygg'!Z19,'Inndata Bygg'!X19,'Inndata Bygg'!Y19,F16,'Inndata Bygg'!B19)</f>
        <v>0</v>
      </c>
      <c r="AF16" s="333" cm="1">
        <f t="array" ref="AF16">CalculateEmissionReductionFromRecycling('ZERO-B Beregning'!$D$17,'Inndata Bygg'!H19,'Inndata Bygg'!G19,'Inndata Bygg'!AA19,'Inndata Bygg'!X19,'Inndata Bygg'!Y19,F16,'Inndata Bygg'!B19)</f>
        <v>0</v>
      </c>
      <c r="AG16" s="572">
        <f>IF(('Inndata Bygg'!G19+'Inndata Bygg'!O19+'Inndata Bygg'!S19) = 0, 0,'Inndata Bygg'!X19*Faktorer!$Z$58)</f>
        <v>0</v>
      </c>
      <c r="AH16" s="573">
        <f>IF(('Inndata Bygg'!G19+'Inndata Bygg'!O19+'Inndata Bygg'!S19) = 0, 0,'Inndata Bygg'!Z19+('Inndata Bygg'!X19+'Inndata Bygg'!Y19)*(1-Faktorer!$Z$58)*0.5)</f>
        <v>0</v>
      </c>
      <c r="AI16" s="574">
        <f>IF(('Inndata Bygg'!G19+'Inndata Bygg'!O19+'Inndata Bygg'!S19) = 0, 0,'Inndata Bygg'!AA19+('Inndata Bygg'!X19+'Inndata Bygg'!Y19)*(1-Faktorer!$Z$58)*0.5)</f>
        <v>0</v>
      </c>
      <c r="AJ16" s="634"/>
      <c r="AK16" s="90">
        <f t="shared" si="2"/>
        <v>0</v>
      </c>
      <c r="AL16" s="91">
        <f>'Resultater detaljert Bygg'!N16</f>
        <v>0</v>
      </c>
      <c r="AM16" s="91" t="str">
        <f>IF(F16=0,"",('Inndata Bygg'!E19+'Inndata Bygg'!F19)*ROUNDDOWN('Inndata Bygg'!I19,0)*(1+'Inndata Bygg'!K19))</f>
        <v/>
      </c>
      <c r="AO16" s="637"/>
    </row>
    <row r="17" spans="2:41" s="183" customFormat="1">
      <c r="B17" s="339">
        <f>'Inndata Bygg'!B20</f>
        <v>0</v>
      </c>
      <c r="C17" s="340">
        <f>'Inndata Bygg'!C20</f>
        <v>0</v>
      </c>
      <c r="D17" s="341">
        <f>'Inndata Bygg'!D20</f>
        <v>0</v>
      </c>
      <c r="E17" s="421" cm="1">
        <f t="array" ref="E17">SUM(IFERROR(F17:AD17,0))</f>
        <v>0</v>
      </c>
      <c r="F17" s="330">
        <f>'Inndata Bygg'!E20</f>
        <v>0</v>
      </c>
      <c r="G17" s="330">
        <f>IF('Inndata Bygg'!AB20="Ja", -0.8*'Resultater detaljert Bygg'!F17, 0)</f>
        <v>0</v>
      </c>
      <c r="H17" s="330">
        <f>IF('Inndata Bygg'!AC20="Ja", -0.4*'Resultater detaljert Bygg'!$F17, 0)</f>
        <v>0</v>
      </c>
      <c r="I17" s="330">
        <f>IF('Inndata Bygg'!AD20="Ja", -1*'Resultater detaljert Bygg'!$F17, 0)</f>
        <v>0</v>
      </c>
      <c r="J17" s="330">
        <f>'Inndata Bygg'!O20*'Inndata Bygg'!P20</f>
        <v>0</v>
      </c>
      <c r="K17" s="330">
        <f>MAX(-0.75*(SUM('Resultater detaljert Bygg'!F17:J17)),-'Inndata Bygg'!O20*'Inndata Bygg'!Q20)</f>
        <v>0</v>
      </c>
      <c r="L17" s="330">
        <f>'Inndata Bygg'!S20*'Inndata Bygg'!T20</f>
        <v>0</v>
      </c>
      <c r="M17" s="330">
        <f>MAX(-0.75*(SUM('Resultater detaljert Bygg'!F17:I17,L17)),-'Inndata Bygg'!S20*'Inndata Bygg'!U20)</f>
        <v>0</v>
      </c>
      <c r="N17" s="331">
        <f>'Inndata Bygg'!F20</f>
        <v>0</v>
      </c>
      <c r="O17" s="330">
        <f>'Inndata Bygg'!O20*'Inndata Bygg'!R20</f>
        <v>0</v>
      </c>
      <c r="P17" s="332">
        <f>'Inndata Bygg'!S20*'Inndata Bygg'!V20</f>
        <v>0</v>
      </c>
      <c r="Q17" s="493">
        <f>SUM(F17:J17,L17)*'Inndata Bygg'!K20</f>
        <v>0</v>
      </c>
      <c r="R17" s="333">
        <f>(K17+M17)*'Inndata Bygg'!K20</f>
        <v>0</v>
      </c>
      <c r="S17" s="493">
        <f>N17*'Inndata Bygg'!K20</f>
        <v>0</v>
      </c>
      <c r="T17" s="494">
        <f>'Inndata Bygg'!G20*'Inndata Bygg'!K20*Transport_utslipp_til_avfallshånderting_per_kg</f>
        <v>0</v>
      </c>
      <c r="U17" s="330">
        <f>IF('Inndata Bygg'!E20 = 0, 0, 1.833*'Inndata Bygg'!X20*'Inndata Bygg'!K20*('Inndata Bygg'!G20*('Inndata Bygg'!L20*0.5+'Inndata Bygg'!M20*0.8) + (12/44)*('Inndata Bygg'!O20*'Inndata Bygg'!Q20+'Inndata Bygg'!S20*'Inndata Bygg'!U20)))</f>
        <v>0</v>
      </c>
      <c r="V17" s="335" cm="1">
        <f t="array" ref="V17">CalculateBiogenicCarbonUptake('ZERO-B Beregning'!$D$17,'Inndata Bygg'!H20,'Inndata Bygg'!G20,'Inndata Bygg'!L20,F17,AB17,AC17,AD17)</f>
        <v>0</v>
      </c>
      <c r="W17" s="576" cm="1">
        <f t="array" ref="W17">CalculateCementCarbonUptake('ZERO-B Beregning'!$D$17,'Inndata Bygg'!H20,'Inndata Bygg'!G20,'Inndata Bygg'!N20)</f>
        <v>0</v>
      </c>
      <c r="X17" s="331" cm="1">
        <f t="array" ref="X17">IF(SUM(F17:J17,L17)=0, 0, SUM(F17:J17,L17)*(1+'Inndata Bygg'!K20)*IF('Inndata Bygg'!H20&gt;50, 0, _xlfn.XLOOKUP('Inndata Bygg'!H20, År_etter_ferdigstillelse, IF(VALUE(LEFT('Inndata Bygg'!B20, 2))= 49, f_tid_x_f_tek_d_0_037_kumulativ, f_tid_x_f_tek_d_0_01_kumulativ))))</f>
        <v>0</v>
      </c>
      <c r="Y17" s="330">
        <f>IF(X17=0, 0, SUM(K17,M17)*(1+'Inndata Bygg'!K20)*IF('Inndata Bygg'!H20&gt;50, 0, _xlfn.XLOOKUP('Inndata Bygg'!H20, År_etter_ferdigstillelse, f_tid_x_f_tek_d_0_01_kumulativ)))</f>
        <v>0</v>
      </c>
      <c r="Z17" s="336">
        <f>IF(X17=0, 0, SUM(N17:P17)*(1+'Inndata Bygg'!K20)*IF('Inndata Bygg'!H20&gt;50, 0, _xlfn.XLOOKUP('Inndata Bygg'!H20, År_etter_ferdigstillelse, f_tid_x_f_tek_d_0_01_kumulativ)))</f>
        <v>0</v>
      </c>
      <c r="AA17" s="336">
        <f>IF(X17=0, 0, ('Inndata Bygg'!G20+'Inndata Bygg'!O20+'Inndata Bygg'!S20)*(1+'Inndata Bygg'!K20)*Transport_utslipp_til_avfallshånderting_per_kg*IF('Inndata Bygg'!H20&gt;50, 0, _xlfn.XLOOKUP('Inndata Bygg'!H20, År_etter_ferdigstillelse, f_tid_x_f_tek_d_0_01_kumulativ)))</f>
        <v>0</v>
      </c>
      <c r="AB17" s="580" cm="1">
        <f t="array" ref="AB17">CalculateEmissionsFromIncinerationOfWaste('ZERO-B Beregning'!$D$17,'Inndata Bygg'!H20,'Inndata Bygg'!G20,'Inndata Bygg'!X20,'Inndata Bygg'!L20,'Inndata Bygg'!M20,'Inndata Bygg'!B20)</f>
        <v>0</v>
      </c>
      <c r="AC17" s="335">
        <f>IF(('Inndata Bygg'!G20+'Inndata Bygg'!O20+'Inndata Bygg'!S20) = 0, 0,('Inndata Bygg'!G20+'Inndata Bygg'!O20+'Inndata Bygg'!S20)*(('Inndata Bygg'!X20+'Inndata Bygg'!Y20+'Inndata Bygg'!AA20)*Transport_utslipp_til_avfallshånderting_per_kg+('Inndata Bygg'!Z20*'ZERO-B Beregning'!D119/1000)*IF('ZERO-B Beregning'!F120=0,'ZERO-B Beregning'!D120,'ZERO-B Beregning'!F120))*_xlfn.XLOOKUP(51, År_etter_ferdigstillelse, f_tid_x_f_tek_d_0_01))</f>
        <v>0</v>
      </c>
      <c r="AD17" s="577">
        <f>IF(('Inndata Bygg'!G20+'Inndata Bygg'!O20+'Inndata Bygg'!S20) = 0, 0,1.833*('Inndata Bygg'!G20*('Inndata Bygg'!L20*0.5+'Inndata Bygg'!M20*0.8)+'Inndata Bygg'!O20*'Inndata Bygg'!Q20+'Inndata Bygg'!S20*'Inndata Bygg'!U20)*AG17*_xlfn.XLOOKUP(51, År_etter_ferdigstillelse,  f_tid_x_f_tek_d_0_01))</f>
        <v>0</v>
      </c>
      <c r="AE17" s="575" cm="1">
        <f t="array" ref="AE17">CalculateEmissionsReductionFromReuse('ZERO-B Beregning'!$D$17,'Inndata Bygg'!H20,'Inndata Bygg'!G20,'Inndata Bygg'!Z20,'Inndata Bygg'!X20,'Inndata Bygg'!Y20,F17,'Inndata Bygg'!B20)</f>
        <v>0</v>
      </c>
      <c r="AF17" s="333" cm="1">
        <f t="array" ref="AF17">CalculateEmissionReductionFromRecycling('ZERO-B Beregning'!$D$17,'Inndata Bygg'!H20,'Inndata Bygg'!G20,'Inndata Bygg'!AA20,'Inndata Bygg'!X20,'Inndata Bygg'!Y20,F17,'Inndata Bygg'!B20)</f>
        <v>0</v>
      </c>
      <c r="AG17" s="572">
        <f>IF(('Inndata Bygg'!G20+'Inndata Bygg'!O20+'Inndata Bygg'!S20) = 0, 0,'Inndata Bygg'!X20*Faktorer!$Z$58)</f>
        <v>0</v>
      </c>
      <c r="AH17" s="573">
        <f>IF(('Inndata Bygg'!G20+'Inndata Bygg'!O20+'Inndata Bygg'!S20) = 0, 0,'Inndata Bygg'!Z20+('Inndata Bygg'!X20+'Inndata Bygg'!Y20)*(1-Faktorer!$Z$58)*0.5)</f>
        <v>0</v>
      </c>
      <c r="AI17" s="574">
        <f>IF(('Inndata Bygg'!G20+'Inndata Bygg'!O20+'Inndata Bygg'!S20) = 0, 0,'Inndata Bygg'!AA20+('Inndata Bygg'!X20+'Inndata Bygg'!Y20)*(1-Faktorer!$Z$58)*0.5)</f>
        <v>0</v>
      </c>
      <c r="AJ17" s="634"/>
      <c r="AK17" s="90">
        <f t="shared" si="2"/>
        <v>0</v>
      </c>
      <c r="AL17" s="91">
        <f>'Resultater detaljert Bygg'!N17</f>
        <v>0</v>
      </c>
      <c r="AM17" s="91" t="str">
        <f>IF(F17=0,"",('Inndata Bygg'!E20+'Inndata Bygg'!F20)*ROUNDDOWN('Inndata Bygg'!I20,0)*(1+'Inndata Bygg'!K20))</f>
        <v/>
      </c>
    </row>
    <row r="18" spans="2:41">
      <c r="B18" s="339">
        <f>'Inndata Bygg'!B21</f>
        <v>0</v>
      </c>
      <c r="C18" s="340">
        <f>'Inndata Bygg'!C21</f>
        <v>0</v>
      </c>
      <c r="D18" s="341">
        <f>'Inndata Bygg'!D21</f>
        <v>0</v>
      </c>
      <c r="E18" s="421" cm="1">
        <f t="array" ref="E18">SUM(IFERROR(F18:AD18,0))</f>
        <v>0</v>
      </c>
      <c r="F18" s="330">
        <f>'Inndata Bygg'!E21</f>
        <v>0</v>
      </c>
      <c r="G18" s="330">
        <f>IF('Inndata Bygg'!AB21="Ja", -0.8*'Resultater detaljert Bygg'!F18, 0)</f>
        <v>0</v>
      </c>
      <c r="H18" s="330">
        <f>IF('Inndata Bygg'!AC21="Ja", -0.4*'Resultater detaljert Bygg'!$F18, 0)</f>
        <v>0</v>
      </c>
      <c r="I18" s="330">
        <f>IF('Inndata Bygg'!AD21="Ja", -1*'Resultater detaljert Bygg'!$F18, 0)</f>
        <v>0</v>
      </c>
      <c r="J18" s="330">
        <f>'Inndata Bygg'!O21*'Inndata Bygg'!P21</f>
        <v>0</v>
      </c>
      <c r="K18" s="330">
        <f>MAX(-0.75*(SUM('Resultater detaljert Bygg'!F18:J18)),-'Inndata Bygg'!O21*'Inndata Bygg'!Q21)</f>
        <v>0</v>
      </c>
      <c r="L18" s="330">
        <f>'Inndata Bygg'!S21*'Inndata Bygg'!T21</f>
        <v>0</v>
      </c>
      <c r="M18" s="330">
        <f>MAX(-0.75*(SUM('Resultater detaljert Bygg'!F18:I18,L18)),-'Inndata Bygg'!S21*'Inndata Bygg'!U21)</f>
        <v>0</v>
      </c>
      <c r="N18" s="331">
        <f>'Inndata Bygg'!F21</f>
        <v>0</v>
      </c>
      <c r="O18" s="330">
        <f>'Inndata Bygg'!O21*'Inndata Bygg'!R21</f>
        <v>0</v>
      </c>
      <c r="P18" s="332">
        <f>'Inndata Bygg'!S21*'Inndata Bygg'!V21</f>
        <v>0</v>
      </c>
      <c r="Q18" s="493">
        <f>SUM(F18:J18,L18)*'Inndata Bygg'!K21</f>
        <v>0</v>
      </c>
      <c r="R18" s="333">
        <f>(K18+M18)*'Inndata Bygg'!K21</f>
        <v>0</v>
      </c>
      <c r="S18" s="493">
        <f>N18*'Inndata Bygg'!K21</f>
        <v>0</v>
      </c>
      <c r="T18" s="494">
        <f>'Inndata Bygg'!G21*'Inndata Bygg'!K21*Transport_utslipp_til_avfallshånderting_per_kg</f>
        <v>0</v>
      </c>
      <c r="U18" s="330">
        <f>IF('Inndata Bygg'!E21 = 0, 0, 1.833*'Inndata Bygg'!X21*'Inndata Bygg'!K21*('Inndata Bygg'!G21*('Inndata Bygg'!L21*0.5+'Inndata Bygg'!M21*0.8) + (12/44)*('Inndata Bygg'!O21*'Inndata Bygg'!Q21+'Inndata Bygg'!S21*'Inndata Bygg'!U21)))</f>
        <v>0</v>
      </c>
      <c r="V18" s="335" cm="1">
        <f t="array" ref="V18">CalculateBiogenicCarbonUptake('ZERO-B Beregning'!$D$17,'Inndata Bygg'!H21,'Inndata Bygg'!G21,'Inndata Bygg'!L21,F18,AB18,AC18,AD18)</f>
        <v>0</v>
      </c>
      <c r="W18" s="576" cm="1">
        <f t="array" ref="W18">CalculateCementCarbonUptake('ZERO-B Beregning'!$D$17,'Inndata Bygg'!H21,'Inndata Bygg'!G21,'Inndata Bygg'!N21)</f>
        <v>0</v>
      </c>
      <c r="X18" s="331" cm="1">
        <f t="array" ref="X18">IF(SUM(F18:J18,L18)=0, 0, SUM(F18:J18,L18)*(1+'Inndata Bygg'!K21)*IF('Inndata Bygg'!H21&gt;50, 0, _xlfn.XLOOKUP('Inndata Bygg'!H21, År_etter_ferdigstillelse, IF(VALUE(LEFT('Inndata Bygg'!B21, 2))= 49, f_tid_x_f_tek_d_0_037_kumulativ, f_tid_x_f_tek_d_0_01_kumulativ))))</f>
        <v>0</v>
      </c>
      <c r="Y18" s="330">
        <f>IF(X18=0, 0, SUM(K18,M18)*(1+'Inndata Bygg'!K21)*IF('Inndata Bygg'!H21&gt;50, 0, _xlfn.XLOOKUP('Inndata Bygg'!H21, År_etter_ferdigstillelse, f_tid_x_f_tek_d_0_01_kumulativ)))</f>
        <v>0</v>
      </c>
      <c r="Z18" s="336">
        <f>IF(X18=0, 0, SUM(N18:P18)*(1+'Inndata Bygg'!K21)*IF('Inndata Bygg'!H21&gt;50, 0, _xlfn.XLOOKUP('Inndata Bygg'!H21, År_etter_ferdigstillelse, f_tid_x_f_tek_d_0_01_kumulativ)))</f>
        <v>0</v>
      </c>
      <c r="AA18" s="336">
        <f>IF(X18=0, 0, ('Inndata Bygg'!G21+'Inndata Bygg'!O21+'Inndata Bygg'!S21)*(1+'Inndata Bygg'!K21)*Transport_utslipp_til_avfallshånderting_per_kg*IF('Inndata Bygg'!H21&gt;50, 0, _xlfn.XLOOKUP('Inndata Bygg'!H21, År_etter_ferdigstillelse, f_tid_x_f_tek_d_0_01_kumulativ)))</f>
        <v>0</v>
      </c>
      <c r="AB18" s="580" cm="1">
        <f t="array" ref="AB18">CalculateEmissionsFromIncinerationOfWaste('ZERO-B Beregning'!$D$17,'Inndata Bygg'!H21,'Inndata Bygg'!G21,'Inndata Bygg'!X21,'Inndata Bygg'!L21,'Inndata Bygg'!M21,'Inndata Bygg'!B21)</f>
        <v>0</v>
      </c>
      <c r="AC18" s="335">
        <f>IF(('Inndata Bygg'!G21+'Inndata Bygg'!O21+'Inndata Bygg'!S21) = 0, 0,('Inndata Bygg'!G21+'Inndata Bygg'!O21+'Inndata Bygg'!S21)*(('Inndata Bygg'!X21+'Inndata Bygg'!Y21+'Inndata Bygg'!AA21)*Transport_utslipp_til_avfallshånderting_per_kg+('Inndata Bygg'!Z21*'ZERO-B Beregning'!D120/1000)*IF('ZERO-B Beregning'!F121=0,'ZERO-B Beregning'!D121,'ZERO-B Beregning'!F121))*_xlfn.XLOOKUP(51, År_etter_ferdigstillelse, f_tid_x_f_tek_d_0_01))</f>
        <v>0</v>
      </c>
      <c r="AD18" s="577">
        <f>IF(('Inndata Bygg'!G21+'Inndata Bygg'!O21+'Inndata Bygg'!S21) = 0, 0,1.833*('Inndata Bygg'!G21*('Inndata Bygg'!L21*0.5+'Inndata Bygg'!M21*0.8)+'Inndata Bygg'!O21*'Inndata Bygg'!Q21+'Inndata Bygg'!S21*'Inndata Bygg'!U21)*AG18*_xlfn.XLOOKUP(51, År_etter_ferdigstillelse,  f_tid_x_f_tek_d_0_01))</f>
        <v>0</v>
      </c>
      <c r="AE18" s="575" cm="1">
        <f t="array" ref="AE18">CalculateEmissionsReductionFromReuse('ZERO-B Beregning'!$D$17,'Inndata Bygg'!H21,'Inndata Bygg'!G21,'Inndata Bygg'!Z21,'Inndata Bygg'!X21,'Inndata Bygg'!Y21,F18,'Inndata Bygg'!B21)</f>
        <v>0</v>
      </c>
      <c r="AF18" s="333" cm="1">
        <f t="array" ref="AF18">CalculateEmissionReductionFromRecycling('ZERO-B Beregning'!$D$17,'Inndata Bygg'!H21,'Inndata Bygg'!G21,'Inndata Bygg'!AA21,'Inndata Bygg'!X21,'Inndata Bygg'!Y21,F18,'Inndata Bygg'!B21)</f>
        <v>0</v>
      </c>
      <c r="AG18" s="572">
        <f>IF(('Inndata Bygg'!G21+'Inndata Bygg'!O21+'Inndata Bygg'!S21) = 0, 0,'Inndata Bygg'!X21*Faktorer!$Z$58)</f>
        <v>0</v>
      </c>
      <c r="AH18" s="573">
        <f>IF(('Inndata Bygg'!G21+'Inndata Bygg'!O21+'Inndata Bygg'!S21) = 0, 0,'Inndata Bygg'!Z21+('Inndata Bygg'!X21+'Inndata Bygg'!Y21)*(1-Faktorer!$Z$58)*0.5)</f>
        <v>0</v>
      </c>
      <c r="AI18" s="574">
        <f>IF(('Inndata Bygg'!G21+'Inndata Bygg'!O21+'Inndata Bygg'!S21) = 0, 0,'Inndata Bygg'!AA21+('Inndata Bygg'!X21+'Inndata Bygg'!Y21)*(1-Faktorer!$Z$58)*0.5)</f>
        <v>0</v>
      </c>
      <c r="AJ18" s="634"/>
      <c r="AK18" s="90">
        <f t="shared" si="2"/>
        <v>0</v>
      </c>
      <c r="AL18" s="91">
        <f>'Resultater detaljert Bygg'!N18</f>
        <v>0</v>
      </c>
      <c r="AM18" s="91" t="str">
        <f>IF(F18=0,"",('Inndata Bygg'!E21+'Inndata Bygg'!F21)*ROUNDDOWN('Inndata Bygg'!I21,0)*(1+'Inndata Bygg'!K21))</f>
        <v/>
      </c>
      <c r="AO18" s="210"/>
    </row>
    <row r="19" spans="2:41">
      <c r="B19" s="339">
        <f>'Inndata Bygg'!B22</f>
        <v>0</v>
      </c>
      <c r="C19" s="340">
        <f>'Inndata Bygg'!C22</f>
        <v>0</v>
      </c>
      <c r="D19" s="341">
        <f>'Inndata Bygg'!D22</f>
        <v>0</v>
      </c>
      <c r="E19" s="421" cm="1">
        <f t="array" ref="E19">SUM(IFERROR(F19:AD19,0))</f>
        <v>0</v>
      </c>
      <c r="F19" s="330">
        <f>'Inndata Bygg'!E22</f>
        <v>0</v>
      </c>
      <c r="G19" s="330">
        <f>IF('Inndata Bygg'!AB22="Ja", -0.8*'Resultater detaljert Bygg'!F19, 0)</f>
        <v>0</v>
      </c>
      <c r="H19" s="330">
        <f>IF('Inndata Bygg'!AC22="Ja", -0.4*'Resultater detaljert Bygg'!$F19, 0)</f>
        <v>0</v>
      </c>
      <c r="I19" s="330">
        <f>IF('Inndata Bygg'!AD22="Ja", -1*'Resultater detaljert Bygg'!$F19, 0)</f>
        <v>0</v>
      </c>
      <c r="J19" s="330">
        <f>'Inndata Bygg'!O22*'Inndata Bygg'!P22</f>
        <v>0</v>
      </c>
      <c r="K19" s="330">
        <f>MAX(-0.75*(SUM('Resultater detaljert Bygg'!F19:J19)),-'Inndata Bygg'!O22*'Inndata Bygg'!Q22)</f>
        <v>0</v>
      </c>
      <c r="L19" s="330">
        <f>'Inndata Bygg'!S22*'Inndata Bygg'!T22</f>
        <v>0</v>
      </c>
      <c r="M19" s="330">
        <f>MAX(-0.75*(SUM('Resultater detaljert Bygg'!F19:I19,L19)),-'Inndata Bygg'!S22*'Inndata Bygg'!U22)</f>
        <v>0</v>
      </c>
      <c r="N19" s="331">
        <f>'Inndata Bygg'!F22</f>
        <v>0</v>
      </c>
      <c r="O19" s="330">
        <f>'Inndata Bygg'!O22*'Inndata Bygg'!R22</f>
        <v>0</v>
      </c>
      <c r="P19" s="332">
        <f>'Inndata Bygg'!S22*'Inndata Bygg'!V22</f>
        <v>0</v>
      </c>
      <c r="Q19" s="493">
        <f>SUM(F19:J19,L19)*'Inndata Bygg'!K22</f>
        <v>0</v>
      </c>
      <c r="R19" s="333">
        <f>(K19+M19)*'Inndata Bygg'!K22</f>
        <v>0</v>
      </c>
      <c r="S19" s="493">
        <f>N19*'Inndata Bygg'!K22</f>
        <v>0</v>
      </c>
      <c r="T19" s="494">
        <f>'Inndata Bygg'!G22*'Inndata Bygg'!K22*Transport_utslipp_til_avfallshånderting_per_kg</f>
        <v>0</v>
      </c>
      <c r="U19" s="330">
        <f>IF('Inndata Bygg'!E22 = 0, 0, 1.833*'Inndata Bygg'!X22*'Inndata Bygg'!K22*('Inndata Bygg'!G22*('Inndata Bygg'!L22*0.5+'Inndata Bygg'!M22*0.8) + (12/44)*('Inndata Bygg'!O22*'Inndata Bygg'!Q22+'Inndata Bygg'!S22*'Inndata Bygg'!U22)))</f>
        <v>0</v>
      </c>
      <c r="V19" s="335" cm="1">
        <f t="array" ref="V19">CalculateBiogenicCarbonUptake('ZERO-B Beregning'!$D$17,'Inndata Bygg'!H22,'Inndata Bygg'!G22,'Inndata Bygg'!L22,F19,AB19,AC19,AD19)</f>
        <v>0</v>
      </c>
      <c r="W19" s="576" cm="1">
        <f t="array" ref="W19">CalculateCementCarbonUptake('ZERO-B Beregning'!$D$17,'Inndata Bygg'!H22,'Inndata Bygg'!G22,'Inndata Bygg'!N22)</f>
        <v>0</v>
      </c>
      <c r="X19" s="331" cm="1">
        <f t="array" ref="X19">IF(SUM(F19:J19,L19)=0, 0, SUM(F19:J19,L19)*(1+'Inndata Bygg'!K22)*IF('Inndata Bygg'!H22&gt;50, 0, _xlfn.XLOOKUP('Inndata Bygg'!H22, År_etter_ferdigstillelse, IF(VALUE(LEFT('Inndata Bygg'!B22, 2))= 49, f_tid_x_f_tek_d_0_037_kumulativ, f_tid_x_f_tek_d_0_01_kumulativ))))</f>
        <v>0</v>
      </c>
      <c r="Y19" s="330">
        <f>IF(X19=0, 0, SUM(K19,M19)*(1+'Inndata Bygg'!K22)*IF('Inndata Bygg'!H22&gt;50, 0, _xlfn.XLOOKUP('Inndata Bygg'!H22, År_etter_ferdigstillelse, f_tid_x_f_tek_d_0_01_kumulativ)))</f>
        <v>0</v>
      </c>
      <c r="Z19" s="336">
        <f>IF(X19=0, 0, SUM(N19:P19)*(1+'Inndata Bygg'!K22)*IF('Inndata Bygg'!H22&gt;50, 0, _xlfn.XLOOKUP('Inndata Bygg'!H22, År_etter_ferdigstillelse, f_tid_x_f_tek_d_0_01_kumulativ)))</f>
        <v>0</v>
      </c>
      <c r="AA19" s="336">
        <f>IF(X19=0, 0, ('Inndata Bygg'!G22+'Inndata Bygg'!O22+'Inndata Bygg'!S22)*(1+'Inndata Bygg'!K22)*Transport_utslipp_til_avfallshånderting_per_kg*IF('Inndata Bygg'!H22&gt;50, 0, _xlfn.XLOOKUP('Inndata Bygg'!H22, År_etter_ferdigstillelse, f_tid_x_f_tek_d_0_01_kumulativ)))</f>
        <v>0</v>
      </c>
      <c r="AB19" s="580" cm="1">
        <f t="array" ref="AB19">CalculateEmissionsFromIncinerationOfWaste('ZERO-B Beregning'!$D$17,'Inndata Bygg'!H22,'Inndata Bygg'!G22,'Inndata Bygg'!X22,'Inndata Bygg'!L22,'Inndata Bygg'!M22,'Inndata Bygg'!B22)</f>
        <v>0</v>
      </c>
      <c r="AC19" s="335">
        <f>IF(('Inndata Bygg'!G22+'Inndata Bygg'!O22+'Inndata Bygg'!S22) = 0, 0,('Inndata Bygg'!G22+'Inndata Bygg'!O22+'Inndata Bygg'!S22)*(('Inndata Bygg'!X22+'Inndata Bygg'!Y22+'Inndata Bygg'!AA22)*Transport_utslipp_til_avfallshånderting_per_kg+('Inndata Bygg'!Z22*'ZERO-B Beregning'!D121/1000)*IF('ZERO-B Beregning'!F122=0,'ZERO-B Beregning'!D122,'ZERO-B Beregning'!F122))*_xlfn.XLOOKUP(51, År_etter_ferdigstillelse, f_tid_x_f_tek_d_0_01))</f>
        <v>0</v>
      </c>
      <c r="AD19" s="577">
        <f>IF(('Inndata Bygg'!G22+'Inndata Bygg'!O22+'Inndata Bygg'!S22) = 0, 0,1.833*('Inndata Bygg'!G22*('Inndata Bygg'!L22*0.5+'Inndata Bygg'!M22*0.8)+'Inndata Bygg'!O22*'Inndata Bygg'!Q22+'Inndata Bygg'!S22*'Inndata Bygg'!U22)*AG19*_xlfn.XLOOKUP(51, År_etter_ferdigstillelse,  f_tid_x_f_tek_d_0_01))</f>
        <v>0</v>
      </c>
      <c r="AE19" s="575" cm="1">
        <f t="array" ref="AE19">CalculateEmissionsReductionFromReuse('ZERO-B Beregning'!$D$17,'Inndata Bygg'!H22,'Inndata Bygg'!G22,'Inndata Bygg'!Z22,'Inndata Bygg'!X22,'Inndata Bygg'!Y22,F19,'Inndata Bygg'!B22)</f>
        <v>0</v>
      </c>
      <c r="AF19" s="333" cm="1">
        <f t="array" ref="AF19">CalculateEmissionReductionFromRecycling('ZERO-B Beregning'!$D$17,'Inndata Bygg'!H22,'Inndata Bygg'!G22,'Inndata Bygg'!AA22,'Inndata Bygg'!X22,'Inndata Bygg'!Y22,F19,'Inndata Bygg'!B22)</f>
        <v>0</v>
      </c>
      <c r="AG19" s="572">
        <f>IF(('Inndata Bygg'!G22+'Inndata Bygg'!O22+'Inndata Bygg'!S22) = 0, 0,'Inndata Bygg'!X22*Faktorer!$Z$58)</f>
        <v>0</v>
      </c>
      <c r="AH19" s="573">
        <f>IF(('Inndata Bygg'!G22+'Inndata Bygg'!O22+'Inndata Bygg'!S22) = 0, 0,'Inndata Bygg'!Z22+('Inndata Bygg'!X22+'Inndata Bygg'!Y22)*(1-Faktorer!$Z$58)*0.5)</f>
        <v>0</v>
      </c>
      <c r="AI19" s="574">
        <f>IF(('Inndata Bygg'!G22+'Inndata Bygg'!O22+'Inndata Bygg'!S22) = 0, 0,'Inndata Bygg'!AA22+('Inndata Bygg'!X22+'Inndata Bygg'!Y22)*(1-Faktorer!$Z$58)*0.5)</f>
        <v>0</v>
      </c>
      <c r="AJ19" s="634"/>
      <c r="AK19" s="90">
        <f t="shared" si="2"/>
        <v>0</v>
      </c>
      <c r="AL19" s="91">
        <f>'Resultater detaljert Bygg'!N19</f>
        <v>0</v>
      </c>
      <c r="AM19" s="91" t="str">
        <f>IF(F19=0,"",('Inndata Bygg'!E22+'Inndata Bygg'!F22)*ROUNDDOWN('Inndata Bygg'!I22,0)*(1+'Inndata Bygg'!K22))</f>
        <v/>
      </c>
    </row>
    <row r="20" spans="2:41">
      <c r="B20" s="339">
        <f>'Inndata Bygg'!B23</f>
        <v>0</v>
      </c>
      <c r="C20" s="340">
        <f>'Inndata Bygg'!C23</f>
        <v>0</v>
      </c>
      <c r="D20" s="341">
        <f>'Inndata Bygg'!D23</f>
        <v>0</v>
      </c>
      <c r="E20" s="421" cm="1">
        <f t="array" ref="E20">SUM(IFERROR(F20:AD20,0))</f>
        <v>0</v>
      </c>
      <c r="F20" s="330">
        <f>'Inndata Bygg'!E23</f>
        <v>0</v>
      </c>
      <c r="G20" s="330">
        <f>IF('Inndata Bygg'!AB23="Ja", -0.8*'Resultater detaljert Bygg'!F20, 0)</f>
        <v>0</v>
      </c>
      <c r="H20" s="330">
        <f>IF('Inndata Bygg'!AC23="Ja", -0.4*'Resultater detaljert Bygg'!$F20, 0)</f>
        <v>0</v>
      </c>
      <c r="I20" s="330">
        <f>IF('Inndata Bygg'!AD23="Ja", -1*'Resultater detaljert Bygg'!$F20, 0)</f>
        <v>0</v>
      </c>
      <c r="J20" s="330">
        <f>'Inndata Bygg'!O23*'Inndata Bygg'!P23</f>
        <v>0</v>
      </c>
      <c r="K20" s="330">
        <f>MAX(-0.75*(SUM('Resultater detaljert Bygg'!F20:J20)),-'Inndata Bygg'!O23*'Inndata Bygg'!Q23)</f>
        <v>0</v>
      </c>
      <c r="L20" s="330">
        <f>'Inndata Bygg'!S23*'Inndata Bygg'!T23</f>
        <v>0</v>
      </c>
      <c r="M20" s="330">
        <f>MAX(-0.75*(SUM('Resultater detaljert Bygg'!F20:I20,L20)),-'Inndata Bygg'!S23*'Inndata Bygg'!U23)</f>
        <v>0</v>
      </c>
      <c r="N20" s="331">
        <f>'Inndata Bygg'!F23</f>
        <v>0</v>
      </c>
      <c r="O20" s="330">
        <f>'Inndata Bygg'!O23*'Inndata Bygg'!R23</f>
        <v>0</v>
      </c>
      <c r="P20" s="332">
        <f>'Inndata Bygg'!S23*'Inndata Bygg'!V23</f>
        <v>0</v>
      </c>
      <c r="Q20" s="493">
        <f>SUM(F20:J20,L20)*'Inndata Bygg'!K23</f>
        <v>0</v>
      </c>
      <c r="R20" s="333">
        <f>(K20+M20)*'Inndata Bygg'!K23</f>
        <v>0</v>
      </c>
      <c r="S20" s="493">
        <f>N20*'Inndata Bygg'!K23</f>
        <v>0</v>
      </c>
      <c r="T20" s="494">
        <f>'Inndata Bygg'!G23*'Inndata Bygg'!K23*Transport_utslipp_til_avfallshånderting_per_kg</f>
        <v>0</v>
      </c>
      <c r="U20" s="330">
        <f>IF('Inndata Bygg'!E23 = 0, 0, 1.833*'Inndata Bygg'!X23*'Inndata Bygg'!K23*('Inndata Bygg'!G23*('Inndata Bygg'!L23*0.5+'Inndata Bygg'!M23*0.8) + (12/44)*('Inndata Bygg'!O23*'Inndata Bygg'!Q23+'Inndata Bygg'!S23*'Inndata Bygg'!U23)))</f>
        <v>0</v>
      </c>
      <c r="V20" s="335" cm="1">
        <f t="array" ref="V20">CalculateBiogenicCarbonUptake('ZERO-B Beregning'!$D$17,'Inndata Bygg'!H23,'Inndata Bygg'!G23,'Inndata Bygg'!L23,F20,AB20,AC20,AD20)</f>
        <v>0</v>
      </c>
      <c r="W20" s="576" cm="1">
        <f t="array" ref="W20">CalculateCementCarbonUptake('ZERO-B Beregning'!$D$17,'Inndata Bygg'!H23,'Inndata Bygg'!G23,'Inndata Bygg'!N23)</f>
        <v>0</v>
      </c>
      <c r="X20" s="331" cm="1">
        <f t="array" ref="X20">IF(SUM(F20:J20,L20)=0, 0, SUM(F20:J20,L20)*(1+'Inndata Bygg'!K23)*IF('Inndata Bygg'!H23&gt;50, 0, _xlfn.XLOOKUP('Inndata Bygg'!H23, År_etter_ferdigstillelse, IF(VALUE(LEFT('Inndata Bygg'!B23, 2))= 49, f_tid_x_f_tek_d_0_037_kumulativ, f_tid_x_f_tek_d_0_01_kumulativ))))</f>
        <v>0</v>
      </c>
      <c r="Y20" s="330">
        <f>IF(X20=0, 0, SUM(K20,M20)*(1+'Inndata Bygg'!K23)*IF('Inndata Bygg'!H23&gt;50, 0, _xlfn.XLOOKUP('Inndata Bygg'!H23, År_etter_ferdigstillelse, f_tid_x_f_tek_d_0_01_kumulativ)))</f>
        <v>0</v>
      </c>
      <c r="Z20" s="336">
        <f>IF(X20=0, 0, SUM(N20:P20)*(1+'Inndata Bygg'!K23)*IF('Inndata Bygg'!H23&gt;50, 0, _xlfn.XLOOKUP('Inndata Bygg'!H23, År_etter_ferdigstillelse, f_tid_x_f_tek_d_0_01_kumulativ)))</f>
        <v>0</v>
      </c>
      <c r="AA20" s="336">
        <f>IF(X20=0, 0, ('Inndata Bygg'!G23+'Inndata Bygg'!O23+'Inndata Bygg'!S23)*(1+'Inndata Bygg'!K23)*Transport_utslipp_til_avfallshånderting_per_kg*IF('Inndata Bygg'!H23&gt;50, 0, _xlfn.XLOOKUP('Inndata Bygg'!H23, År_etter_ferdigstillelse, f_tid_x_f_tek_d_0_01_kumulativ)))</f>
        <v>0</v>
      </c>
      <c r="AB20" s="580" cm="1">
        <f t="array" ref="AB20">CalculateEmissionsFromIncinerationOfWaste('ZERO-B Beregning'!$D$17,'Inndata Bygg'!H23,'Inndata Bygg'!G23,'Inndata Bygg'!X23,'Inndata Bygg'!L23,'Inndata Bygg'!M23,'Inndata Bygg'!B23)</f>
        <v>0</v>
      </c>
      <c r="AC20" s="335">
        <f>IF(('Inndata Bygg'!G23+'Inndata Bygg'!O23+'Inndata Bygg'!S23) = 0, 0,('Inndata Bygg'!G23+'Inndata Bygg'!O23+'Inndata Bygg'!S23)*(('Inndata Bygg'!X23+'Inndata Bygg'!Y23+'Inndata Bygg'!AA23)*Transport_utslipp_til_avfallshånderting_per_kg+('Inndata Bygg'!Z23*'ZERO-B Beregning'!D122/1000)*IF('ZERO-B Beregning'!F123=0,'ZERO-B Beregning'!D123,'ZERO-B Beregning'!F123))*_xlfn.XLOOKUP(51, År_etter_ferdigstillelse, f_tid_x_f_tek_d_0_01))</f>
        <v>0</v>
      </c>
      <c r="AD20" s="577">
        <f>IF(('Inndata Bygg'!G23+'Inndata Bygg'!O23+'Inndata Bygg'!S23) = 0, 0,1.833*('Inndata Bygg'!G23*('Inndata Bygg'!L23*0.5+'Inndata Bygg'!M23*0.8)+'Inndata Bygg'!O23*'Inndata Bygg'!Q23+'Inndata Bygg'!S23*'Inndata Bygg'!U23)*AG20*_xlfn.XLOOKUP(51, År_etter_ferdigstillelse,  f_tid_x_f_tek_d_0_01))</f>
        <v>0</v>
      </c>
      <c r="AE20" s="575" cm="1">
        <f t="array" ref="AE20">CalculateEmissionsReductionFromReuse('ZERO-B Beregning'!$D$17,'Inndata Bygg'!H23,'Inndata Bygg'!G23,'Inndata Bygg'!Z23,'Inndata Bygg'!X23,'Inndata Bygg'!Y23,F20,'Inndata Bygg'!B23)</f>
        <v>0</v>
      </c>
      <c r="AF20" s="333" cm="1">
        <f t="array" ref="AF20">CalculateEmissionReductionFromRecycling('ZERO-B Beregning'!$D$17,'Inndata Bygg'!H23,'Inndata Bygg'!G23,'Inndata Bygg'!AA23,'Inndata Bygg'!X23,'Inndata Bygg'!Y23,F20,'Inndata Bygg'!B23)</f>
        <v>0</v>
      </c>
      <c r="AG20" s="572">
        <f>IF(('Inndata Bygg'!G23+'Inndata Bygg'!O23+'Inndata Bygg'!S23) = 0, 0,'Inndata Bygg'!X23*Faktorer!$Z$58)</f>
        <v>0</v>
      </c>
      <c r="AH20" s="573">
        <f>IF(('Inndata Bygg'!G23+'Inndata Bygg'!O23+'Inndata Bygg'!S23) = 0, 0,'Inndata Bygg'!Z23+('Inndata Bygg'!X23+'Inndata Bygg'!Y23)*(1-Faktorer!$Z$58)*0.5)</f>
        <v>0</v>
      </c>
      <c r="AI20" s="574">
        <f>IF(('Inndata Bygg'!G23+'Inndata Bygg'!O23+'Inndata Bygg'!S23) = 0, 0,'Inndata Bygg'!AA23+('Inndata Bygg'!X23+'Inndata Bygg'!Y23)*(1-Faktorer!$Z$58)*0.5)</f>
        <v>0</v>
      </c>
      <c r="AJ20" s="634"/>
      <c r="AK20" s="90">
        <f t="shared" si="2"/>
        <v>0</v>
      </c>
      <c r="AL20" s="91">
        <f>'Resultater detaljert Bygg'!N20</f>
        <v>0</v>
      </c>
      <c r="AM20" s="91" t="str">
        <f>IF(F20=0,"",('Inndata Bygg'!E23+'Inndata Bygg'!F23)*ROUNDDOWN('Inndata Bygg'!I23,0)*(1+'Inndata Bygg'!K23))</f>
        <v/>
      </c>
    </row>
    <row r="21" spans="2:41">
      <c r="B21" s="339">
        <f>'Inndata Bygg'!B24</f>
        <v>0</v>
      </c>
      <c r="C21" s="340">
        <f>'Inndata Bygg'!C24</f>
        <v>0</v>
      </c>
      <c r="D21" s="341">
        <f>'Inndata Bygg'!D24</f>
        <v>0</v>
      </c>
      <c r="E21" s="421" cm="1">
        <f t="array" ref="E21">SUM(IFERROR(F21:AD21,0))</f>
        <v>0</v>
      </c>
      <c r="F21" s="330">
        <f>'Inndata Bygg'!E24</f>
        <v>0</v>
      </c>
      <c r="G21" s="330">
        <f>IF('Inndata Bygg'!AB24="Ja", -0.8*'Resultater detaljert Bygg'!F21, 0)</f>
        <v>0</v>
      </c>
      <c r="H21" s="330">
        <f>IF('Inndata Bygg'!AC24="Ja", -0.4*'Resultater detaljert Bygg'!$F21, 0)</f>
        <v>0</v>
      </c>
      <c r="I21" s="330">
        <f>IF('Inndata Bygg'!AD24="Ja", -1*'Resultater detaljert Bygg'!$F21, 0)</f>
        <v>0</v>
      </c>
      <c r="J21" s="330">
        <f>'Inndata Bygg'!O24*'Inndata Bygg'!P24</f>
        <v>0</v>
      </c>
      <c r="K21" s="330">
        <f>MAX(-0.75*(SUM('Resultater detaljert Bygg'!F21:J21)),-'Inndata Bygg'!O24*'Inndata Bygg'!Q24)</f>
        <v>0</v>
      </c>
      <c r="L21" s="330">
        <f>'Inndata Bygg'!S24*'Inndata Bygg'!T24</f>
        <v>0</v>
      </c>
      <c r="M21" s="330">
        <f>MAX(-0.75*(SUM('Resultater detaljert Bygg'!F21:I21,L21)),-'Inndata Bygg'!S24*'Inndata Bygg'!U24)</f>
        <v>0</v>
      </c>
      <c r="N21" s="331">
        <f>'Inndata Bygg'!F24</f>
        <v>0</v>
      </c>
      <c r="O21" s="330">
        <f>'Inndata Bygg'!O24*'Inndata Bygg'!R24</f>
        <v>0</v>
      </c>
      <c r="P21" s="332">
        <f>'Inndata Bygg'!S24*'Inndata Bygg'!V24</f>
        <v>0</v>
      </c>
      <c r="Q21" s="493">
        <f>SUM(F21:J21,L21)*'Inndata Bygg'!K24</f>
        <v>0</v>
      </c>
      <c r="R21" s="333">
        <f>(K21+M21)*'Inndata Bygg'!K24</f>
        <v>0</v>
      </c>
      <c r="S21" s="493">
        <f>N21*'Inndata Bygg'!K24</f>
        <v>0</v>
      </c>
      <c r="T21" s="494">
        <f>'Inndata Bygg'!G24*'Inndata Bygg'!K24*Transport_utslipp_til_avfallshånderting_per_kg</f>
        <v>0</v>
      </c>
      <c r="U21" s="330">
        <f>IF('Inndata Bygg'!E24 = 0, 0, 1.833*'Inndata Bygg'!X24*'Inndata Bygg'!K24*('Inndata Bygg'!G24*('Inndata Bygg'!L24*0.5+'Inndata Bygg'!M24*0.8) + (12/44)*('Inndata Bygg'!O24*'Inndata Bygg'!Q24+'Inndata Bygg'!S24*'Inndata Bygg'!U24)))</f>
        <v>0</v>
      </c>
      <c r="V21" s="335" cm="1">
        <f t="array" ref="V21">CalculateBiogenicCarbonUptake('ZERO-B Beregning'!$D$17,'Inndata Bygg'!H24,'Inndata Bygg'!G24,'Inndata Bygg'!L24,F21,AB21,AC21,AD21)</f>
        <v>0</v>
      </c>
      <c r="W21" s="576" cm="1">
        <f t="array" ref="W21">CalculateCementCarbonUptake('ZERO-B Beregning'!$D$17,'Inndata Bygg'!H24,'Inndata Bygg'!G24,'Inndata Bygg'!N24)</f>
        <v>0</v>
      </c>
      <c r="X21" s="331" cm="1">
        <f t="array" ref="X21">IF(SUM(F21:J21,L21)=0, 0, SUM(F21:J21,L21)*(1+'Inndata Bygg'!K24)*IF('Inndata Bygg'!H24&gt;50, 0, _xlfn.XLOOKUP('Inndata Bygg'!H24, År_etter_ferdigstillelse, IF(VALUE(LEFT('Inndata Bygg'!B24, 2))= 49, f_tid_x_f_tek_d_0_037_kumulativ, f_tid_x_f_tek_d_0_01_kumulativ))))</f>
        <v>0</v>
      </c>
      <c r="Y21" s="330">
        <f>IF(X21=0, 0, SUM(K21,M21)*(1+'Inndata Bygg'!K24)*IF('Inndata Bygg'!H24&gt;50, 0, _xlfn.XLOOKUP('Inndata Bygg'!H24, År_etter_ferdigstillelse, f_tid_x_f_tek_d_0_01_kumulativ)))</f>
        <v>0</v>
      </c>
      <c r="Z21" s="336">
        <f>IF(X21=0, 0, SUM(N21:P21)*(1+'Inndata Bygg'!K24)*IF('Inndata Bygg'!H24&gt;50, 0, _xlfn.XLOOKUP('Inndata Bygg'!H24, År_etter_ferdigstillelse, f_tid_x_f_tek_d_0_01_kumulativ)))</f>
        <v>0</v>
      </c>
      <c r="AA21" s="336">
        <f>IF(X21=0, 0, ('Inndata Bygg'!G24+'Inndata Bygg'!O24+'Inndata Bygg'!S24)*(1+'Inndata Bygg'!K24)*Transport_utslipp_til_avfallshånderting_per_kg*IF('Inndata Bygg'!H24&gt;50, 0, _xlfn.XLOOKUP('Inndata Bygg'!H24, År_etter_ferdigstillelse, f_tid_x_f_tek_d_0_01_kumulativ)))</f>
        <v>0</v>
      </c>
      <c r="AB21" s="580" cm="1">
        <f t="array" ref="AB21">CalculateEmissionsFromIncinerationOfWaste('ZERO-B Beregning'!$D$17,'Inndata Bygg'!H24,'Inndata Bygg'!G24,'Inndata Bygg'!X24,'Inndata Bygg'!L24,'Inndata Bygg'!M24,'Inndata Bygg'!B24)</f>
        <v>0</v>
      </c>
      <c r="AC21" s="335">
        <f>IF(('Inndata Bygg'!G24+'Inndata Bygg'!O24+'Inndata Bygg'!S24) = 0, 0,('Inndata Bygg'!G24+'Inndata Bygg'!O24+'Inndata Bygg'!S24)*(('Inndata Bygg'!X24+'Inndata Bygg'!Y24+'Inndata Bygg'!AA24)*Transport_utslipp_til_avfallshånderting_per_kg+('Inndata Bygg'!Z24*'ZERO-B Beregning'!D123/1000)*IF('ZERO-B Beregning'!F124=0,'ZERO-B Beregning'!D124,'ZERO-B Beregning'!F124))*_xlfn.XLOOKUP(51, År_etter_ferdigstillelse, f_tid_x_f_tek_d_0_01))</f>
        <v>0</v>
      </c>
      <c r="AD21" s="577">
        <f>IF(('Inndata Bygg'!G24+'Inndata Bygg'!O24+'Inndata Bygg'!S24) = 0, 0,1.833*('Inndata Bygg'!G24*('Inndata Bygg'!L24*0.5+'Inndata Bygg'!M24*0.8)+'Inndata Bygg'!O24*'Inndata Bygg'!Q24+'Inndata Bygg'!S24*'Inndata Bygg'!U24)*AG21*_xlfn.XLOOKUP(51, År_etter_ferdigstillelse,  f_tid_x_f_tek_d_0_01))</f>
        <v>0</v>
      </c>
      <c r="AE21" s="575" cm="1">
        <f t="array" ref="AE21">CalculateEmissionsReductionFromReuse('ZERO-B Beregning'!$D$17,'Inndata Bygg'!H24,'Inndata Bygg'!G24,'Inndata Bygg'!Z24,'Inndata Bygg'!X24,'Inndata Bygg'!Y24,F21,'Inndata Bygg'!B24)</f>
        <v>0</v>
      </c>
      <c r="AF21" s="333" cm="1">
        <f t="array" ref="AF21">CalculateEmissionReductionFromRecycling('ZERO-B Beregning'!$D$17,'Inndata Bygg'!H24,'Inndata Bygg'!G24,'Inndata Bygg'!AA24,'Inndata Bygg'!X24,'Inndata Bygg'!Y24,F21,'Inndata Bygg'!B24)</f>
        <v>0</v>
      </c>
      <c r="AG21" s="572">
        <f>IF(('Inndata Bygg'!G24+'Inndata Bygg'!O24+'Inndata Bygg'!S24) = 0, 0,'Inndata Bygg'!X24*Faktorer!$Z$58)</f>
        <v>0</v>
      </c>
      <c r="AH21" s="573">
        <f>IF(('Inndata Bygg'!G24+'Inndata Bygg'!O24+'Inndata Bygg'!S24) = 0, 0,'Inndata Bygg'!Z24+('Inndata Bygg'!X24+'Inndata Bygg'!Y24)*(1-Faktorer!$Z$58)*0.5)</f>
        <v>0</v>
      </c>
      <c r="AI21" s="574">
        <f>IF(('Inndata Bygg'!G24+'Inndata Bygg'!O24+'Inndata Bygg'!S24) = 0, 0,'Inndata Bygg'!AA24+('Inndata Bygg'!X24+'Inndata Bygg'!Y24)*(1-Faktorer!$Z$58)*0.5)</f>
        <v>0</v>
      </c>
      <c r="AJ21" s="634"/>
      <c r="AK21" s="90">
        <f t="shared" si="2"/>
        <v>0</v>
      </c>
      <c r="AL21" s="91">
        <f>'Resultater detaljert Bygg'!N21</f>
        <v>0</v>
      </c>
      <c r="AM21" s="91" t="str">
        <f>IF(F21=0,"",('Inndata Bygg'!E24+'Inndata Bygg'!F24)*ROUNDDOWN('Inndata Bygg'!I24,0)*(1+'Inndata Bygg'!K24))</f>
        <v/>
      </c>
      <c r="AO21" s="257"/>
    </row>
    <row r="22" spans="2:41">
      <c r="B22" s="339">
        <f>'Inndata Bygg'!B25</f>
        <v>0</v>
      </c>
      <c r="C22" s="340">
        <f>'Inndata Bygg'!C25</f>
        <v>0</v>
      </c>
      <c r="D22" s="341">
        <f>'Inndata Bygg'!D25</f>
        <v>0</v>
      </c>
      <c r="E22" s="421" cm="1">
        <f t="array" ref="E22">SUM(IFERROR(F22:AD22,0))</f>
        <v>0</v>
      </c>
      <c r="F22" s="330">
        <f>'Inndata Bygg'!E25</f>
        <v>0</v>
      </c>
      <c r="G22" s="330">
        <f>IF('Inndata Bygg'!AB25="Ja", -0.8*'Resultater detaljert Bygg'!F22, 0)</f>
        <v>0</v>
      </c>
      <c r="H22" s="330">
        <f>IF('Inndata Bygg'!AC25="Ja", -0.4*'Resultater detaljert Bygg'!$F22, 0)</f>
        <v>0</v>
      </c>
      <c r="I22" s="330">
        <f>IF('Inndata Bygg'!AD25="Ja", -1*'Resultater detaljert Bygg'!$F22, 0)</f>
        <v>0</v>
      </c>
      <c r="J22" s="330">
        <f>'Inndata Bygg'!O25*'Inndata Bygg'!P25</f>
        <v>0</v>
      </c>
      <c r="K22" s="330">
        <f>MAX(-0.75*(SUM('Resultater detaljert Bygg'!F22:J22)),-'Inndata Bygg'!O25*'Inndata Bygg'!Q25)</f>
        <v>0</v>
      </c>
      <c r="L22" s="330">
        <f>'Inndata Bygg'!S25*'Inndata Bygg'!T25</f>
        <v>0</v>
      </c>
      <c r="M22" s="330">
        <f>MAX(-0.75*(SUM('Resultater detaljert Bygg'!F22:I22,L22)),-'Inndata Bygg'!S25*'Inndata Bygg'!U25)</f>
        <v>0</v>
      </c>
      <c r="N22" s="331">
        <f>'Inndata Bygg'!F25</f>
        <v>0</v>
      </c>
      <c r="O22" s="330">
        <f>'Inndata Bygg'!O25*'Inndata Bygg'!R25</f>
        <v>0</v>
      </c>
      <c r="P22" s="332">
        <f>'Inndata Bygg'!S25*'Inndata Bygg'!V25</f>
        <v>0</v>
      </c>
      <c r="Q22" s="493">
        <f>SUM(F22:J22,L22)*'Inndata Bygg'!K25</f>
        <v>0</v>
      </c>
      <c r="R22" s="333">
        <f>(K22+M22)*'Inndata Bygg'!K25</f>
        <v>0</v>
      </c>
      <c r="S22" s="493">
        <f>N22*'Inndata Bygg'!K25</f>
        <v>0</v>
      </c>
      <c r="T22" s="494">
        <f>'Inndata Bygg'!G25*'Inndata Bygg'!K25*Transport_utslipp_til_avfallshånderting_per_kg</f>
        <v>0</v>
      </c>
      <c r="U22" s="330">
        <f>IF('Inndata Bygg'!E25 = 0, 0, 1.833*'Inndata Bygg'!X25*'Inndata Bygg'!K25*('Inndata Bygg'!G25*('Inndata Bygg'!L25*0.5+'Inndata Bygg'!M25*0.8) + (12/44)*('Inndata Bygg'!O25*'Inndata Bygg'!Q25+'Inndata Bygg'!S25*'Inndata Bygg'!U25)))</f>
        <v>0</v>
      </c>
      <c r="V22" s="335" cm="1">
        <f t="array" ref="V22">CalculateBiogenicCarbonUptake('ZERO-B Beregning'!$D$17,'Inndata Bygg'!H25,'Inndata Bygg'!G25,'Inndata Bygg'!L25,F22,AB22,AC22,AD22)</f>
        <v>0</v>
      </c>
      <c r="W22" s="576" cm="1">
        <f t="array" ref="W22">CalculateCementCarbonUptake('ZERO-B Beregning'!$D$17,'Inndata Bygg'!H25,'Inndata Bygg'!G25,'Inndata Bygg'!N25)</f>
        <v>0</v>
      </c>
      <c r="X22" s="331" cm="1">
        <f t="array" ref="X22">IF(SUM(F22:J22,L22)=0, 0, SUM(F22:J22,L22)*(1+'Inndata Bygg'!K25)*IF('Inndata Bygg'!H25&gt;50, 0, _xlfn.XLOOKUP('Inndata Bygg'!H25, År_etter_ferdigstillelse, IF(VALUE(LEFT('Inndata Bygg'!B25, 2))= 49, f_tid_x_f_tek_d_0_037_kumulativ, f_tid_x_f_tek_d_0_01_kumulativ))))</f>
        <v>0</v>
      </c>
      <c r="Y22" s="330">
        <f>IF(X22=0, 0, SUM(K22,M22)*(1+'Inndata Bygg'!K25)*IF('Inndata Bygg'!H25&gt;50, 0, _xlfn.XLOOKUP('Inndata Bygg'!H25, År_etter_ferdigstillelse, f_tid_x_f_tek_d_0_01_kumulativ)))</f>
        <v>0</v>
      </c>
      <c r="Z22" s="336">
        <f>IF(X22=0, 0, SUM(N22:P22)*(1+'Inndata Bygg'!K25)*IF('Inndata Bygg'!H25&gt;50, 0, _xlfn.XLOOKUP('Inndata Bygg'!H25, År_etter_ferdigstillelse, f_tid_x_f_tek_d_0_01_kumulativ)))</f>
        <v>0</v>
      </c>
      <c r="AA22" s="336">
        <f>IF(X22=0, 0, ('Inndata Bygg'!G25+'Inndata Bygg'!O25+'Inndata Bygg'!S25)*(1+'Inndata Bygg'!K25)*Transport_utslipp_til_avfallshånderting_per_kg*IF('Inndata Bygg'!H25&gt;50, 0, _xlfn.XLOOKUP('Inndata Bygg'!H25, År_etter_ferdigstillelse, f_tid_x_f_tek_d_0_01_kumulativ)))</f>
        <v>0</v>
      </c>
      <c r="AB22" s="580" cm="1">
        <f t="array" ref="AB22">CalculateEmissionsFromIncinerationOfWaste('ZERO-B Beregning'!$D$17,'Inndata Bygg'!H25,'Inndata Bygg'!G25,'Inndata Bygg'!X25,'Inndata Bygg'!L25,'Inndata Bygg'!M25,'Inndata Bygg'!B25)</f>
        <v>0</v>
      </c>
      <c r="AC22" s="335">
        <f>IF(('Inndata Bygg'!G25+'Inndata Bygg'!O25+'Inndata Bygg'!S25) = 0, 0,('Inndata Bygg'!G25+'Inndata Bygg'!O25+'Inndata Bygg'!S25)*(('Inndata Bygg'!X25+'Inndata Bygg'!Y25+'Inndata Bygg'!AA25)*Transport_utslipp_til_avfallshånderting_per_kg+('Inndata Bygg'!Z25*'ZERO-B Beregning'!D124/1000)*IF('ZERO-B Beregning'!F125=0,'ZERO-B Beregning'!D125,'ZERO-B Beregning'!F125))*_xlfn.XLOOKUP(51, År_etter_ferdigstillelse, f_tid_x_f_tek_d_0_01))</f>
        <v>0</v>
      </c>
      <c r="AD22" s="577">
        <f>IF(('Inndata Bygg'!G25+'Inndata Bygg'!O25+'Inndata Bygg'!S25) = 0, 0,1.833*('Inndata Bygg'!G25*('Inndata Bygg'!L25*0.5+'Inndata Bygg'!M25*0.8)+'Inndata Bygg'!O25*'Inndata Bygg'!Q25+'Inndata Bygg'!S25*'Inndata Bygg'!U25)*AG22*_xlfn.XLOOKUP(51, År_etter_ferdigstillelse,  f_tid_x_f_tek_d_0_01))</f>
        <v>0</v>
      </c>
      <c r="AE22" s="575" cm="1">
        <f t="array" ref="AE22">CalculateEmissionsReductionFromReuse('ZERO-B Beregning'!$D$17,'Inndata Bygg'!H25,'Inndata Bygg'!G25,'Inndata Bygg'!Z25,'Inndata Bygg'!X25,'Inndata Bygg'!Y25,F22,'Inndata Bygg'!B25)</f>
        <v>0</v>
      </c>
      <c r="AF22" s="333" cm="1">
        <f t="array" ref="AF22">CalculateEmissionReductionFromRecycling('ZERO-B Beregning'!$D$17,'Inndata Bygg'!H25,'Inndata Bygg'!G25,'Inndata Bygg'!AA25,'Inndata Bygg'!X25,'Inndata Bygg'!Y25,F22,'Inndata Bygg'!B25)</f>
        <v>0</v>
      </c>
      <c r="AG22" s="572">
        <f>IF(('Inndata Bygg'!G25+'Inndata Bygg'!O25+'Inndata Bygg'!S25) = 0, 0,'Inndata Bygg'!X25*Faktorer!$Z$58)</f>
        <v>0</v>
      </c>
      <c r="AH22" s="573">
        <f>IF(('Inndata Bygg'!G25+'Inndata Bygg'!O25+'Inndata Bygg'!S25) = 0, 0,'Inndata Bygg'!Z25+('Inndata Bygg'!X25+'Inndata Bygg'!Y25)*(1-Faktorer!$Z$58)*0.5)</f>
        <v>0</v>
      </c>
      <c r="AI22" s="574">
        <f>IF(('Inndata Bygg'!G25+'Inndata Bygg'!O25+'Inndata Bygg'!S25) = 0, 0,'Inndata Bygg'!AA25+('Inndata Bygg'!X25+'Inndata Bygg'!Y25)*(1-Faktorer!$Z$58)*0.5)</f>
        <v>0</v>
      </c>
      <c r="AJ22" s="634"/>
      <c r="AK22" s="90">
        <f t="shared" si="2"/>
        <v>0</v>
      </c>
      <c r="AL22" s="91">
        <f>'Resultater detaljert Bygg'!N22</f>
        <v>0</v>
      </c>
      <c r="AM22" s="91" t="str">
        <f>IF(F22=0,"",('Inndata Bygg'!E25+'Inndata Bygg'!F25)*ROUNDDOWN('Inndata Bygg'!I25,0)*(1+'Inndata Bygg'!K25))</f>
        <v/>
      </c>
    </row>
    <row r="23" spans="2:41">
      <c r="B23" s="339">
        <f>'Inndata Bygg'!B26</f>
        <v>0</v>
      </c>
      <c r="C23" s="340">
        <f>'Inndata Bygg'!C26</f>
        <v>0</v>
      </c>
      <c r="D23" s="341">
        <f>'Inndata Bygg'!D26</f>
        <v>0</v>
      </c>
      <c r="E23" s="421" cm="1">
        <f t="array" ref="E23">SUM(IFERROR(F23:AD23,0))</f>
        <v>0</v>
      </c>
      <c r="F23" s="330">
        <f>'Inndata Bygg'!E26</f>
        <v>0</v>
      </c>
      <c r="G23" s="330">
        <f>IF('Inndata Bygg'!AB26="Ja", -0.8*'Resultater detaljert Bygg'!F23, 0)</f>
        <v>0</v>
      </c>
      <c r="H23" s="330">
        <f>IF('Inndata Bygg'!AC26="Ja", -0.4*'Resultater detaljert Bygg'!$F23, 0)</f>
        <v>0</v>
      </c>
      <c r="I23" s="330">
        <f>IF('Inndata Bygg'!AD26="Ja", -1*'Resultater detaljert Bygg'!$F23, 0)</f>
        <v>0</v>
      </c>
      <c r="J23" s="330">
        <f>'Inndata Bygg'!O26*'Inndata Bygg'!P26</f>
        <v>0</v>
      </c>
      <c r="K23" s="330">
        <f>MAX(-0.75*(SUM('Resultater detaljert Bygg'!F23:J23)),-'Inndata Bygg'!O26*'Inndata Bygg'!Q26)</f>
        <v>0</v>
      </c>
      <c r="L23" s="330">
        <f>'Inndata Bygg'!S26*'Inndata Bygg'!T26</f>
        <v>0</v>
      </c>
      <c r="M23" s="330">
        <f>MAX(-0.75*(SUM('Resultater detaljert Bygg'!F23:I23,L23)),-'Inndata Bygg'!S26*'Inndata Bygg'!U26)</f>
        <v>0</v>
      </c>
      <c r="N23" s="331">
        <f>'Inndata Bygg'!F26</f>
        <v>0</v>
      </c>
      <c r="O23" s="330">
        <f>'Inndata Bygg'!O26*'Inndata Bygg'!R26</f>
        <v>0</v>
      </c>
      <c r="P23" s="332">
        <f>'Inndata Bygg'!S26*'Inndata Bygg'!V26</f>
        <v>0</v>
      </c>
      <c r="Q23" s="493">
        <f>SUM(F23:J23,L23)*'Inndata Bygg'!K26</f>
        <v>0</v>
      </c>
      <c r="R23" s="333">
        <f>(K23+M23)*'Inndata Bygg'!K26</f>
        <v>0</v>
      </c>
      <c r="S23" s="493">
        <f>N23*'Inndata Bygg'!K26</f>
        <v>0</v>
      </c>
      <c r="T23" s="494">
        <f>'Inndata Bygg'!G26*'Inndata Bygg'!K26*Transport_utslipp_til_avfallshånderting_per_kg</f>
        <v>0</v>
      </c>
      <c r="U23" s="330">
        <f>IF('Inndata Bygg'!E26 = 0, 0, 1.833*'Inndata Bygg'!X26*'Inndata Bygg'!K26*('Inndata Bygg'!G26*('Inndata Bygg'!L26*0.5+'Inndata Bygg'!M26*0.8) + (12/44)*('Inndata Bygg'!O26*'Inndata Bygg'!Q26+'Inndata Bygg'!S26*'Inndata Bygg'!U26)))</f>
        <v>0</v>
      </c>
      <c r="V23" s="335" cm="1">
        <f t="array" ref="V23">CalculateBiogenicCarbonUptake('ZERO-B Beregning'!$D$17,'Inndata Bygg'!H26,'Inndata Bygg'!G26,'Inndata Bygg'!L26,F23,AB23,AC23,AD23)</f>
        <v>0</v>
      </c>
      <c r="W23" s="576" cm="1">
        <f t="array" ref="W23">CalculateCementCarbonUptake('ZERO-B Beregning'!$D$17,'Inndata Bygg'!H26,'Inndata Bygg'!G26,'Inndata Bygg'!N26)</f>
        <v>0</v>
      </c>
      <c r="X23" s="331" cm="1">
        <f t="array" ref="X23">IF(SUM(F23:J23,L23)=0, 0, SUM(F23:J23,L23)*(1+'Inndata Bygg'!K26)*IF('Inndata Bygg'!H26&gt;50, 0, _xlfn.XLOOKUP('Inndata Bygg'!H26, År_etter_ferdigstillelse, IF(VALUE(LEFT('Inndata Bygg'!B26, 2))= 49, f_tid_x_f_tek_d_0_037_kumulativ, f_tid_x_f_tek_d_0_01_kumulativ))))</f>
        <v>0</v>
      </c>
      <c r="Y23" s="330">
        <f>IF(X23=0, 0, SUM(K23,M23)*(1+'Inndata Bygg'!K26)*IF('Inndata Bygg'!H26&gt;50, 0, _xlfn.XLOOKUP('Inndata Bygg'!H26, År_etter_ferdigstillelse, f_tid_x_f_tek_d_0_01_kumulativ)))</f>
        <v>0</v>
      </c>
      <c r="Z23" s="336">
        <f>IF(X23=0, 0, SUM(N23:P23)*(1+'Inndata Bygg'!K26)*IF('Inndata Bygg'!H26&gt;50, 0, _xlfn.XLOOKUP('Inndata Bygg'!H26, År_etter_ferdigstillelse, f_tid_x_f_tek_d_0_01_kumulativ)))</f>
        <v>0</v>
      </c>
      <c r="AA23" s="336">
        <f>IF(X23=0, 0, ('Inndata Bygg'!G26+'Inndata Bygg'!O26+'Inndata Bygg'!S26)*(1+'Inndata Bygg'!K26)*Transport_utslipp_til_avfallshånderting_per_kg*IF('Inndata Bygg'!H26&gt;50, 0, _xlfn.XLOOKUP('Inndata Bygg'!H26, År_etter_ferdigstillelse, f_tid_x_f_tek_d_0_01_kumulativ)))</f>
        <v>0</v>
      </c>
      <c r="AB23" s="580" cm="1">
        <f t="array" ref="AB23">CalculateEmissionsFromIncinerationOfWaste('ZERO-B Beregning'!$D$17,'Inndata Bygg'!H26,'Inndata Bygg'!G26,'Inndata Bygg'!X26,'Inndata Bygg'!L26,'Inndata Bygg'!M26,'Inndata Bygg'!B26)</f>
        <v>0</v>
      </c>
      <c r="AC23" s="335">
        <f>IF(('Inndata Bygg'!G26+'Inndata Bygg'!O26+'Inndata Bygg'!S26) = 0, 0,('Inndata Bygg'!G26+'Inndata Bygg'!O26+'Inndata Bygg'!S26)*(('Inndata Bygg'!X26+'Inndata Bygg'!Y26+'Inndata Bygg'!AA26)*Transport_utslipp_til_avfallshånderting_per_kg+('Inndata Bygg'!Z26*'ZERO-B Beregning'!D125/1000)*IF('ZERO-B Beregning'!F126=0,'ZERO-B Beregning'!D126,'ZERO-B Beregning'!F126))*_xlfn.XLOOKUP(51, År_etter_ferdigstillelse, f_tid_x_f_tek_d_0_01))</f>
        <v>0</v>
      </c>
      <c r="AD23" s="577">
        <f>IF(('Inndata Bygg'!G26+'Inndata Bygg'!O26+'Inndata Bygg'!S26) = 0, 0,1.833*('Inndata Bygg'!G26*('Inndata Bygg'!L26*0.5+'Inndata Bygg'!M26*0.8)+'Inndata Bygg'!O26*'Inndata Bygg'!Q26+'Inndata Bygg'!S26*'Inndata Bygg'!U26)*AG23*_xlfn.XLOOKUP(51, År_etter_ferdigstillelse,  f_tid_x_f_tek_d_0_01))</f>
        <v>0</v>
      </c>
      <c r="AE23" s="575" cm="1">
        <f t="array" ref="AE23">CalculateEmissionsReductionFromReuse('ZERO-B Beregning'!$D$17,'Inndata Bygg'!H26,'Inndata Bygg'!G26,'Inndata Bygg'!Z26,'Inndata Bygg'!X26,'Inndata Bygg'!Y26,F23,'Inndata Bygg'!B26)</f>
        <v>0</v>
      </c>
      <c r="AF23" s="333" cm="1">
        <f t="array" ref="AF23">CalculateEmissionReductionFromRecycling('ZERO-B Beregning'!$D$17,'Inndata Bygg'!H26,'Inndata Bygg'!G26,'Inndata Bygg'!AA26,'Inndata Bygg'!X26,'Inndata Bygg'!Y26,F23,'Inndata Bygg'!B26)</f>
        <v>0</v>
      </c>
      <c r="AG23" s="572">
        <f>IF(('Inndata Bygg'!G26+'Inndata Bygg'!O26+'Inndata Bygg'!S26) = 0, 0,'Inndata Bygg'!X26*Faktorer!$Z$58)</f>
        <v>0</v>
      </c>
      <c r="AH23" s="573">
        <f>IF(('Inndata Bygg'!G26+'Inndata Bygg'!O26+'Inndata Bygg'!S26) = 0, 0,'Inndata Bygg'!Z26+('Inndata Bygg'!X26+'Inndata Bygg'!Y26)*(1-Faktorer!$Z$58)*0.5)</f>
        <v>0</v>
      </c>
      <c r="AI23" s="574">
        <f>IF(('Inndata Bygg'!G26+'Inndata Bygg'!O26+'Inndata Bygg'!S26) = 0, 0,'Inndata Bygg'!AA26+('Inndata Bygg'!X26+'Inndata Bygg'!Y26)*(1-Faktorer!$Z$58)*0.5)</f>
        <v>0</v>
      </c>
      <c r="AJ23" s="634"/>
      <c r="AK23" s="90">
        <f t="shared" si="2"/>
        <v>0</v>
      </c>
      <c r="AL23" s="91">
        <f>'Resultater detaljert Bygg'!N23</f>
        <v>0</v>
      </c>
      <c r="AM23" s="91" t="str">
        <f>IF(F23=0,"",('Inndata Bygg'!E26+'Inndata Bygg'!F26)*ROUNDDOWN('Inndata Bygg'!I26,0)*(1+'Inndata Bygg'!K26))</f>
        <v/>
      </c>
    </row>
    <row r="24" spans="2:41">
      <c r="B24" s="339">
        <f>'Inndata Bygg'!B27</f>
        <v>0</v>
      </c>
      <c r="C24" s="340">
        <f>'Inndata Bygg'!C27</f>
        <v>0</v>
      </c>
      <c r="D24" s="341">
        <f>'Inndata Bygg'!D27</f>
        <v>0</v>
      </c>
      <c r="E24" s="421" cm="1">
        <f t="array" ref="E24">SUM(IFERROR(F24:AD24,0))</f>
        <v>0</v>
      </c>
      <c r="F24" s="330">
        <f>'Inndata Bygg'!E27</f>
        <v>0</v>
      </c>
      <c r="G24" s="330">
        <f>IF('Inndata Bygg'!AB27="Ja", -0.8*'Resultater detaljert Bygg'!F24, 0)</f>
        <v>0</v>
      </c>
      <c r="H24" s="330">
        <f>IF('Inndata Bygg'!AC27="Ja", -0.4*'Resultater detaljert Bygg'!$F24, 0)</f>
        <v>0</v>
      </c>
      <c r="I24" s="330">
        <f>IF('Inndata Bygg'!AD27="Ja", -1*'Resultater detaljert Bygg'!$F24, 0)</f>
        <v>0</v>
      </c>
      <c r="J24" s="330">
        <f>'Inndata Bygg'!O27*'Inndata Bygg'!P27</f>
        <v>0</v>
      </c>
      <c r="K24" s="330">
        <f>MAX(-0.75*(SUM('Resultater detaljert Bygg'!F24:J24)),-'Inndata Bygg'!O27*'Inndata Bygg'!Q27)</f>
        <v>0</v>
      </c>
      <c r="L24" s="330">
        <f>'Inndata Bygg'!S27*'Inndata Bygg'!T27</f>
        <v>0</v>
      </c>
      <c r="M24" s="330">
        <f>MAX(-0.75*(SUM('Resultater detaljert Bygg'!F24:I24,L24)),-'Inndata Bygg'!S27*'Inndata Bygg'!U27)</f>
        <v>0</v>
      </c>
      <c r="N24" s="331">
        <f>'Inndata Bygg'!F27</f>
        <v>0</v>
      </c>
      <c r="O24" s="330">
        <f>'Inndata Bygg'!O27*'Inndata Bygg'!R27</f>
        <v>0</v>
      </c>
      <c r="P24" s="332">
        <f>'Inndata Bygg'!S27*'Inndata Bygg'!V27</f>
        <v>0</v>
      </c>
      <c r="Q24" s="493">
        <f>SUM(F24:J24,L24)*'Inndata Bygg'!K27</f>
        <v>0</v>
      </c>
      <c r="R24" s="333">
        <f>(K24+M24)*'Inndata Bygg'!K27</f>
        <v>0</v>
      </c>
      <c r="S24" s="493">
        <f>N24*'Inndata Bygg'!K27</f>
        <v>0</v>
      </c>
      <c r="T24" s="494">
        <f>'Inndata Bygg'!G27*'Inndata Bygg'!K27*Transport_utslipp_til_avfallshånderting_per_kg</f>
        <v>0</v>
      </c>
      <c r="U24" s="330">
        <f>IF('Inndata Bygg'!E27 = 0, 0, 1.833*'Inndata Bygg'!X27*'Inndata Bygg'!K27*('Inndata Bygg'!G27*('Inndata Bygg'!L27*0.5+'Inndata Bygg'!M27*0.8) + (12/44)*('Inndata Bygg'!O27*'Inndata Bygg'!Q27+'Inndata Bygg'!S27*'Inndata Bygg'!U27)))</f>
        <v>0</v>
      </c>
      <c r="V24" s="335" cm="1">
        <f t="array" ref="V24">CalculateBiogenicCarbonUptake('ZERO-B Beregning'!$D$17,'Inndata Bygg'!H27,'Inndata Bygg'!G27,'Inndata Bygg'!L27,F24,AB24,AC24,AD24)</f>
        <v>0</v>
      </c>
      <c r="W24" s="576" cm="1">
        <f t="array" ref="W24">CalculateCementCarbonUptake('ZERO-B Beregning'!$D$17,'Inndata Bygg'!H27,'Inndata Bygg'!G27,'Inndata Bygg'!N27)</f>
        <v>0</v>
      </c>
      <c r="X24" s="331" cm="1">
        <f t="array" ref="X24">IF(SUM(F24:J24,L24)=0, 0, SUM(F24:J24,L24)*(1+'Inndata Bygg'!K27)*IF('Inndata Bygg'!H27&gt;50, 0, _xlfn.XLOOKUP('Inndata Bygg'!H27, År_etter_ferdigstillelse, IF(VALUE(LEFT('Inndata Bygg'!B27, 2))= 49, f_tid_x_f_tek_d_0_037_kumulativ, f_tid_x_f_tek_d_0_01_kumulativ))))</f>
        <v>0</v>
      </c>
      <c r="Y24" s="330">
        <f>IF(X24=0, 0, SUM(K24,M24)*(1+'Inndata Bygg'!K27)*IF('Inndata Bygg'!H27&gt;50, 0, _xlfn.XLOOKUP('Inndata Bygg'!H27, År_etter_ferdigstillelse, f_tid_x_f_tek_d_0_01_kumulativ)))</f>
        <v>0</v>
      </c>
      <c r="Z24" s="336">
        <f>IF(X24=0, 0, SUM(N24:P24)*(1+'Inndata Bygg'!K27)*IF('Inndata Bygg'!H27&gt;50, 0, _xlfn.XLOOKUP('Inndata Bygg'!H27, År_etter_ferdigstillelse, f_tid_x_f_tek_d_0_01_kumulativ)))</f>
        <v>0</v>
      </c>
      <c r="AA24" s="336">
        <f>IF(X24=0, 0, ('Inndata Bygg'!G27+'Inndata Bygg'!O27+'Inndata Bygg'!S27)*(1+'Inndata Bygg'!K27)*Transport_utslipp_til_avfallshånderting_per_kg*IF('Inndata Bygg'!H27&gt;50, 0, _xlfn.XLOOKUP('Inndata Bygg'!H27, År_etter_ferdigstillelse, f_tid_x_f_tek_d_0_01_kumulativ)))</f>
        <v>0</v>
      </c>
      <c r="AB24" s="580" cm="1">
        <f t="array" ref="AB24">CalculateEmissionsFromIncinerationOfWaste('ZERO-B Beregning'!$D$17,'Inndata Bygg'!H27,'Inndata Bygg'!G27,'Inndata Bygg'!X27,'Inndata Bygg'!L27,'Inndata Bygg'!M27,'Inndata Bygg'!B27)</f>
        <v>0</v>
      </c>
      <c r="AC24" s="335">
        <f>IF(('Inndata Bygg'!G27+'Inndata Bygg'!O27+'Inndata Bygg'!S27) = 0, 0,('Inndata Bygg'!G27+'Inndata Bygg'!O27+'Inndata Bygg'!S27)*(('Inndata Bygg'!X27+'Inndata Bygg'!Y27+'Inndata Bygg'!AA27)*Transport_utslipp_til_avfallshånderting_per_kg+('Inndata Bygg'!Z27*'ZERO-B Beregning'!D126/1000)*IF('ZERO-B Beregning'!F127=0,'ZERO-B Beregning'!D127,'ZERO-B Beregning'!F127))*_xlfn.XLOOKUP(51, År_etter_ferdigstillelse, f_tid_x_f_tek_d_0_01))</f>
        <v>0</v>
      </c>
      <c r="AD24" s="577">
        <f>IF(('Inndata Bygg'!G27+'Inndata Bygg'!O27+'Inndata Bygg'!S27) = 0, 0,1.833*('Inndata Bygg'!G27*('Inndata Bygg'!L27*0.5+'Inndata Bygg'!M27*0.8)+'Inndata Bygg'!O27*'Inndata Bygg'!Q27+'Inndata Bygg'!S27*'Inndata Bygg'!U27)*AG24*_xlfn.XLOOKUP(51, År_etter_ferdigstillelse,  f_tid_x_f_tek_d_0_01))</f>
        <v>0</v>
      </c>
      <c r="AE24" s="575" cm="1">
        <f t="array" ref="AE24">CalculateEmissionsReductionFromReuse('ZERO-B Beregning'!$D$17,'Inndata Bygg'!H27,'Inndata Bygg'!G27,'Inndata Bygg'!Z27,'Inndata Bygg'!X27,'Inndata Bygg'!Y27,F24,'Inndata Bygg'!B27)</f>
        <v>0</v>
      </c>
      <c r="AF24" s="333" cm="1">
        <f t="array" ref="AF24">CalculateEmissionReductionFromRecycling('ZERO-B Beregning'!$D$17,'Inndata Bygg'!H27,'Inndata Bygg'!G27,'Inndata Bygg'!AA27,'Inndata Bygg'!X27,'Inndata Bygg'!Y27,F24,'Inndata Bygg'!B27)</f>
        <v>0</v>
      </c>
      <c r="AG24" s="572">
        <f>IF(('Inndata Bygg'!G27+'Inndata Bygg'!O27+'Inndata Bygg'!S27) = 0, 0,'Inndata Bygg'!X27*Faktorer!$Z$58)</f>
        <v>0</v>
      </c>
      <c r="AH24" s="573">
        <f>IF(('Inndata Bygg'!G27+'Inndata Bygg'!O27+'Inndata Bygg'!S27) = 0, 0,'Inndata Bygg'!Z27+('Inndata Bygg'!X27+'Inndata Bygg'!Y27)*(1-Faktorer!$Z$58)*0.5)</f>
        <v>0</v>
      </c>
      <c r="AI24" s="574">
        <f>IF(('Inndata Bygg'!G27+'Inndata Bygg'!O27+'Inndata Bygg'!S27) = 0, 0,'Inndata Bygg'!AA27+('Inndata Bygg'!X27+'Inndata Bygg'!Y27)*(1-Faktorer!$Z$58)*0.5)</f>
        <v>0</v>
      </c>
      <c r="AJ24" s="634"/>
      <c r="AK24" s="90">
        <f t="shared" si="2"/>
        <v>0</v>
      </c>
      <c r="AL24" s="91">
        <f>'Resultater detaljert Bygg'!N24</f>
        <v>0</v>
      </c>
      <c r="AM24" s="91" t="str">
        <f>IF(F24=0,"",('Inndata Bygg'!E27+'Inndata Bygg'!F27)*ROUNDDOWN('Inndata Bygg'!I27,0)*(1+'Inndata Bygg'!K27))</f>
        <v/>
      </c>
    </row>
    <row r="25" spans="2:41">
      <c r="B25" s="339">
        <f>'Inndata Bygg'!B28</f>
        <v>0</v>
      </c>
      <c r="C25" s="340">
        <f>'Inndata Bygg'!C28</f>
        <v>0</v>
      </c>
      <c r="D25" s="341">
        <f>'Inndata Bygg'!D28</f>
        <v>0</v>
      </c>
      <c r="E25" s="421" cm="1">
        <f t="array" ref="E25">SUM(IFERROR(F25:AD25,0))</f>
        <v>0</v>
      </c>
      <c r="F25" s="330">
        <f>'Inndata Bygg'!E28</f>
        <v>0</v>
      </c>
      <c r="G25" s="330">
        <f>IF('Inndata Bygg'!AB28="Ja", -0.8*'Resultater detaljert Bygg'!F25, 0)</f>
        <v>0</v>
      </c>
      <c r="H25" s="330">
        <f>IF('Inndata Bygg'!AC28="Ja", -0.4*'Resultater detaljert Bygg'!$F25, 0)</f>
        <v>0</v>
      </c>
      <c r="I25" s="330">
        <f>IF('Inndata Bygg'!AD28="Ja", -1*'Resultater detaljert Bygg'!$F25, 0)</f>
        <v>0</v>
      </c>
      <c r="J25" s="330">
        <f>'Inndata Bygg'!O28*'Inndata Bygg'!P28</f>
        <v>0</v>
      </c>
      <c r="K25" s="330">
        <f>MAX(-0.75*(SUM('Resultater detaljert Bygg'!F25:J25)),-'Inndata Bygg'!O28*'Inndata Bygg'!Q28)</f>
        <v>0</v>
      </c>
      <c r="L25" s="330">
        <f>'Inndata Bygg'!S28*'Inndata Bygg'!T28</f>
        <v>0</v>
      </c>
      <c r="M25" s="330">
        <f>MAX(-0.75*(SUM('Resultater detaljert Bygg'!F25:I25,L25)),-'Inndata Bygg'!S28*'Inndata Bygg'!U28)</f>
        <v>0</v>
      </c>
      <c r="N25" s="331">
        <f>'Inndata Bygg'!F28</f>
        <v>0</v>
      </c>
      <c r="O25" s="330">
        <f>'Inndata Bygg'!O28*'Inndata Bygg'!R28</f>
        <v>0</v>
      </c>
      <c r="P25" s="332">
        <f>'Inndata Bygg'!S28*'Inndata Bygg'!V28</f>
        <v>0</v>
      </c>
      <c r="Q25" s="493">
        <f>SUM(F25:J25,L25)*'Inndata Bygg'!K28</f>
        <v>0</v>
      </c>
      <c r="R25" s="333">
        <f>(K25+M25)*'Inndata Bygg'!K28</f>
        <v>0</v>
      </c>
      <c r="S25" s="493">
        <f>N25*'Inndata Bygg'!K28</f>
        <v>0</v>
      </c>
      <c r="T25" s="494">
        <f>'Inndata Bygg'!G28*'Inndata Bygg'!K28*Transport_utslipp_til_avfallshånderting_per_kg</f>
        <v>0</v>
      </c>
      <c r="U25" s="330">
        <f>IF('Inndata Bygg'!E28 = 0, 0, 1.833*'Inndata Bygg'!X28*'Inndata Bygg'!K28*('Inndata Bygg'!G28*('Inndata Bygg'!L28*0.5+'Inndata Bygg'!M28*0.8) + (12/44)*('Inndata Bygg'!O28*'Inndata Bygg'!Q28+'Inndata Bygg'!S28*'Inndata Bygg'!U28)))</f>
        <v>0</v>
      </c>
      <c r="V25" s="335" cm="1">
        <f t="array" ref="V25">CalculateBiogenicCarbonUptake('ZERO-B Beregning'!$D$17,'Inndata Bygg'!H28,'Inndata Bygg'!G28,'Inndata Bygg'!L28,F25,AB25,AC25,AD25)</f>
        <v>0</v>
      </c>
      <c r="W25" s="576" cm="1">
        <f t="array" ref="W25">CalculateCementCarbonUptake('ZERO-B Beregning'!$D$17,'Inndata Bygg'!H28,'Inndata Bygg'!G28,'Inndata Bygg'!N28)</f>
        <v>0</v>
      </c>
      <c r="X25" s="331" cm="1">
        <f t="array" ref="X25">IF(SUM(F25:J25,L25)=0, 0, SUM(F25:J25,L25)*(1+'Inndata Bygg'!K28)*IF('Inndata Bygg'!H28&gt;50, 0, _xlfn.XLOOKUP('Inndata Bygg'!H28, År_etter_ferdigstillelse, IF(VALUE(LEFT('Inndata Bygg'!B28, 2))= 49, f_tid_x_f_tek_d_0_037_kumulativ, f_tid_x_f_tek_d_0_01_kumulativ))))</f>
        <v>0</v>
      </c>
      <c r="Y25" s="330">
        <f>IF(X25=0, 0, SUM(K25,M25)*(1+'Inndata Bygg'!K28)*IF('Inndata Bygg'!H28&gt;50, 0, _xlfn.XLOOKUP('Inndata Bygg'!H28, År_etter_ferdigstillelse, f_tid_x_f_tek_d_0_01_kumulativ)))</f>
        <v>0</v>
      </c>
      <c r="Z25" s="336">
        <f>IF(X25=0, 0, SUM(N25:P25)*(1+'Inndata Bygg'!K28)*IF('Inndata Bygg'!H28&gt;50, 0, _xlfn.XLOOKUP('Inndata Bygg'!H28, År_etter_ferdigstillelse, f_tid_x_f_tek_d_0_01_kumulativ)))</f>
        <v>0</v>
      </c>
      <c r="AA25" s="336">
        <f>IF(X25=0, 0, ('Inndata Bygg'!G28+'Inndata Bygg'!O28+'Inndata Bygg'!S28)*(1+'Inndata Bygg'!K28)*Transport_utslipp_til_avfallshånderting_per_kg*IF('Inndata Bygg'!H28&gt;50, 0, _xlfn.XLOOKUP('Inndata Bygg'!H28, År_etter_ferdigstillelse, f_tid_x_f_tek_d_0_01_kumulativ)))</f>
        <v>0</v>
      </c>
      <c r="AB25" s="580" cm="1">
        <f t="array" ref="AB25">CalculateEmissionsFromIncinerationOfWaste('ZERO-B Beregning'!$D$17,'Inndata Bygg'!H28,'Inndata Bygg'!G28,'Inndata Bygg'!X28,'Inndata Bygg'!L28,'Inndata Bygg'!M28,'Inndata Bygg'!B28)</f>
        <v>0</v>
      </c>
      <c r="AC25" s="335">
        <f>IF(('Inndata Bygg'!G28+'Inndata Bygg'!O28+'Inndata Bygg'!S28) = 0, 0,('Inndata Bygg'!G28+'Inndata Bygg'!O28+'Inndata Bygg'!S28)*(('Inndata Bygg'!X28+'Inndata Bygg'!Y28+'Inndata Bygg'!AA28)*Transport_utslipp_til_avfallshånderting_per_kg+('Inndata Bygg'!Z28*'ZERO-B Beregning'!D127/1000)*IF('ZERO-B Beregning'!F128=0,'ZERO-B Beregning'!D128,'ZERO-B Beregning'!F128))*_xlfn.XLOOKUP(51, År_etter_ferdigstillelse, f_tid_x_f_tek_d_0_01))</f>
        <v>0</v>
      </c>
      <c r="AD25" s="577">
        <f>IF(('Inndata Bygg'!G28+'Inndata Bygg'!O28+'Inndata Bygg'!S28) = 0, 0,1.833*('Inndata Bygg'!G28*('Inndata Bygg'!L28*0.5+'Inndata Bygg'!M28*0.8)+'Inndata Bygg'!O28*'Inndata Bygg'!Q28+'Inndata Bygg'!S28*'Inndata Bygg'!U28)*AG25*_xlfn.XLOOKUP(51, År_etter_ferdigstillelse,  f_tid_x_f_tek_d_0_01))</f>
        <v>0</v>
      </c>
      <c r="AE25" s="575" cm="1">
        <f t="array" ref="AE25">CalculateEmissionsReductionFromReuse('ZERO-B Beregning'!$D$17,'Inndata Bygg'!H28,'Inndata Bygg'!G28,'Inndata Bygg'!Z28,'Inndata Bygg'!X28,'Inndata Bygg'!Y28,F25,'Inndata Bygg'!B28)</f>
        <v>0</v>
      </c>
      <c r="AF25" s="333" cm="1">
        <f t="array" ref="AF25">CalculateEmissionReductionFromRecycling('ZERO-B Beregning'!$D$17,'Inndata Bygg'!H28,'Inndata Bygg'!G28,'Inndata Bygg'!AA28,'Inndata Bygg'!X28,'Inndata Bygg'!Y28,F25,'Inndata Bygg'!B28)</f>
        <v>0</v>
      </c>
      <c r="AG25" s="572">
        <f>IF(('Inndata Bygg'!G28+'Inndata Bygg'!O28+'Inndata Bygg'!S28) = 0, 0,'Inndata Bygg'!X28*Faktorer!$Z$58)</f>
        <v>0</v>
      </c>
      <c r="AH25" s="573">
        <f>IF(('Inndata Bygg'!G28+'Inndata Bygg'!O28+'Inndata Bygg'!S28) = 0, 0,'Inndata Bygg'!Z28+('Inndata Bygg'!X28+'Inndata Bygg'!Y28)*(1-Faktorer!$Z$58)*0.5)</f>
        <v>0</v>
      </c>
      <c r="AI25" s="574">
        <f>IF(('Inndata Bygg'!G28+'Inndata Bygg'!O28+'Inndata Bygg'!S28) = 0, 0,'Inndata Bygg'!AA28+('Inndata Bygg'!X28+'Inndata Bygg'!Y28)*(1-Faktorer!$Z$58)*0.5)</f>
        <v>0</v>
      </c>
      <c r="AJ25" s="634"/>
      <c r="AK25" s="90">
        <f t="shared" si="2"/>
        <v>0</v>
      </c>
      <c r="AL25" s="91">
        <f>'Resultater detaljert Bygg'!N25</f>
        <v>0</v>
      </c>
      <c r="AM25" s="91" t="str">
        <f>IF(F25=0,"",('Inndata Bygg'!E28+'Inndata Bygg'!F28)*ROUNDDOWN('Inndata Bygg'!I28,0)*(1+'Inndata Bygg'!K28))</f>
        <v/>
      </c>
    </row>
    <row r="26" spans="2:41">
      <c r="B26" s="339">
        <f>'Inndata Bygg'!B29</f>
        <v>0</v>
      </c>
      <c r="C26" s="340">
        <f>'Inndata Bygg'!C29</f>
        <v>0</v>
      </c>
      <c r="D26" s="341">
        <f>'Inndata Bygg'!D29</f>
        <v>0</v>
      </c>
      <c r="E26" s="421" cm="1">
        <f t="array" ref="E26">SUM(IFERROR(F26:AD26,0))</f>
        <v>0</v>
      </c>
      <c r="F26" s="330">
        <f>'Inndata Bygg'!E29</f>
        <v>0</v>
      </c>
      <c r="G26" s="330">
        <f>IF('Inndata Bygg'!AB29="Ja", -0.8*'Resultater detaljert Bygg'!F26, 0)</f>
        <v>0</v>
      </c>
      <c r="H26" s="330">
        <f>IF('Inndata Bygg'!AC29="Ja", -0.4*'Resultater detaljert Bygg'!$F26, 0)</f>
        <v>0</v>
      </c>
      <c r="I26" s="330">
        <f>IF('Inndata Bygg'!AD29="Ja", -1*'Resultater detaljert Bygg'!$F26, 0)</f>
        <v>0</v>
      </c>
      <c r="J26" s="330">
        <f>'Inndata Bygg'!O29*'Inndata Bygg'!P29</f>
        <v>0</v>
      </c>
      <c r="K26" s="330">
        <f>MAX(-0.75*(SUM('Resultater detaljert Bygg'!F26:J26)),-'Inndata Bygg'!O29*'Inndata Bygg'!Q29)</f>
        <v>0</v>
      </c>
      <c r="L26" s="330">
        <f>'Inndata Bygg'!S29*'Inndata Bygg'!T29</f>
        <v>0</v>
      </c>
      <c r="M26" s="330">
        <f>MAX(-0.75*(SUM('Resultater detaljert Bygg'!F26:I26,L26)),-'Inndata Bygg'!S29*'Inndata Bygg'!U29)</f>
        <v>0</v>
      </c>
      <c r="N26" s="331">
        <f>'Inndata Bygg'!F29</f>
        <v>0</v>
      </c>
      <c r="O26" s="330">
        <f>'Inndata Bygg'!O29*'Inndata Bygg'!R29</f>
        <v>0</v>
      </c>
      <c r="P26" s="332">
        <f>'Inndata Bygg'!S29*'Inndata Bygg'!V29</f>
        <v>0</v>
      </c>
      <c r="Q26" s="493">
        <f>SUM(F26:J26,L26)*'Inndata Bygg'!K29</f>
        <v>0</v>
      </c>
      <c r="R26" s="333">
        <f>(K26+M26)*'Inndata Bygg'!K29</f>
        <v>0</v>
      </c>
      <c r="S26" s="493">
        <f>N26*'Inndata Bygg'!K29</f>
        <v>0</v>
      </c>
      <c r="T26" s="494">
        <f>'Inndata Bygg'!G29*'Inndata Bygg'!K29*Transport_utslipp_til_avfallshånderting_per_kg</f>
        <v>0</v>
      </c>
      <c r="U26" s="330">
        <f>IF('Inndata Bygg'!E29 = 0, 0, 1.833*'Inndata Bygg'!X29*'Inndata Bygg'!K29*('Inndata Bygg'!G29*('Inndata Bygg'!L29*0.5+'Inndata Bygg'!M29*0.8) + (12/44)*('Inndata Bygg'!O29*'Inndata Bygg'!Q29+'Inndata Bygg'!S29*'Inndata Bygg'!U29)))</f>
        <v>0</v>
      </c>
      <c r="V26" s="335" cm="1">
        <f t="array" ref="V26">CalculateBiogenicCarbonUptake('ZERO-B Beregning'!$D$17,'Inndata Bygg'!H29,'Inndata Bygg'!G29,'Inndata Bygg'!L29,F26,AB26,AC26,AD26)</f>
        <v>0</v>
      </c>
      <c r="W26" s="576" cm="1">
        <f t="array" ref="W26">CalculateCementCarbonUptake('ZERO-B Beregning'!$D$17,'Inndata Bygg'!H29,'Inndata Bygg'!G29,'Inndata Bygg'!N29)</f>
        <v>0</v>
      </c>
      <c r="X26" s="331" cm="1">
        <f t="array" ref="X26">IF(SUM(F26:J26,L26)=0, 0, SUM(F26:J26,L26)*(1+'Inndata Bygg'!K29)*IF('Inndata Bygg'!H29&gt;50, 0, _xlfn.XLOOKUP('Inndata Bygg'!H29, År_etter_ferdigstillelse, IF(VALUE(LEFT('Inndata Bygg'!B29, 2))= 49, f_tid_x_f_tek_d_0_037_kumulativ, f_tid_x_f_tek_d_0_01_kumulativ))))</f>
        <v>0</v>
      </c>
      <c r="Y26" s="330">
        <f>IF(X26=0, 0, SUM(K26,M26)*(1+'Inndata Bygg'!K29)*IF('Inndata Bygg'!H29&gt;50, 0, _xlfn.XLOOKUP('Inndata Bygg'!H29, År_etter_ferdigstillelse, f_tid_x_f_tek_d_0_01_kumulativ)))</f>
        <v>0</v>
      </c>
      <c r="Z26" s="336">
        <f>IF(X26=0, 0, SUM(N26:P26)*(1+'Inndata Bygg'!K29)*IF('Inndata Bygg'!H29&gt;50, 0, _xlfn.XLOOKUP('Inndata Bygg'!H29, År_etter_ferdigstillelse, f_tid_x_f_tek_d_0_01_kumulativ)))</f>
        <v>0</v>
      </c>
      <c r="AA26" s="336">
        <f>IF(X26=0, 0, ('Inndata Bygg'!G29+'Inndata Bygg'!O29+'Inndata Bygg'!S29)*(1+'Inndata Bygg'!K29)*Transport_utslipp_til_avfallshånderting_per_kg*IF('Inndata Bygg'!H29&gt;50, 0, _xlfn.XLOOKUP('Inndata Bygg'!H29, År_etter_ferdigstillelse, f_tid_x_f_tek_d_0_01_kumulativ)))</f>
        <v>0</v>
      </c>
      <c r="AB26" s="580" cm="1">
        <f t="array" ref="AB26">CalculateEmissionsFromIncinerationOfWaste('ZERO-B Beregning'!$D$17,'Inndata Bygg'!H29,'Inndata Bygg'!G29,'Inndata Bygg'!X29,'Inndata Bygg'!L29,'Inndata Bygg'!M29,'Inndata Bygg'!B29)</f>
        <v>0</v>
      </c>
      <c r="AC26" s="335">
        <f>IF(('Inndata Bygg'!G29+'Inndata Bygg'!O29+'Inndata Bygg'!S29) = 0, 0,('Inndata Bygg'!G29+'Inndata Bygg'!O29+'Inndata Bygg'!S29)*(('Inndata Bygg'!X29+'Inndata Bygg'!Y29+'Inndata Bygg'!AA29)*Transport_utslipp_til_avfallshånderting_per_kg+('Inndata Bygg'!Z29*'ZERO-B Beregning'!D128/1000)*IF('ZERO-B Beregning'!F129=0,'ZERO-B Beregning'!D129,'ZERO-B Beregning'!F129))*_xlfn.XLOOKUP(51, År_etter_ferdigstillelse, f_tid_x_f_tek_d_0_01))</f>
        <v>0</v>
      </c>
      <c r="AD26" s="577">
        <f>IF(('Inndata Bygg'!G29+'Inndata Bygg'!O29+'Inndata Bygg'!S29) = 0, 0,1.833*('Inndata Bygg'!G29*('Inndata Bygg'!L29*0.5+'Inndata Bygg'!M29*0.8)+'Inndata Bygg'!O29*'Inndata Bygg'!Q29+'Inndata Bygg'!S29*'Inndata Bygg'!U29)*AG26*_xlfn.XLOOKUP(51, År_etter_ferdigstillelse,  f_tid_x_f_tek_d_0_01))</f>
        <v>0</v>
      </c>
      <c r="AE26" s="575" cm="1">
        <f t="array" ref="AE26">CalculateEmissionsReductionFromReuse('ZERO-B Beregning'!$D$17,'Inndata Bygg'!H29,'Inndata Bygg'!G29,'Inndata Bygg'!Z29,'Inndata Bygg'!X29,'Inndata Bygg'!Y29,F26,'Inndata Bygg'!B29)</f>
        <v>0</v>
      </c>
      <c r="AF26" s="333" cm="1">
        <f t="array" ref="AF26">CalculateEmissionReductionFromRecycling('ZERO-B Beregning'!$D$17,'Inndata Bygg'!H29,'Inndata Bygg'!G29,'Inndata Bygg'!AA29,'Inndata Bygg'!X29,'Inndata Bygg'!Y29,F26,'Inndata Bygg'!B29)</f>
        <v>0</v>
      </c>
      <c r="AG26" s="572">
        <f>IF(('Inndata Bygg'!G29+'Inndata Bygg'!O29+'Inndata Bygg'!S29) = 0, 0,'Inndata Bygg'!X29*Faktorer!$Z$58)</f>
        <v>0</v>
      </c>
      <c r="AH26" s="573">
        <f>IF(('Inndata Bygg'!G29+'Inndata Bygg'!O29+'Inndata Bygg'!S29) = 0, 0,'Inndata Bygg'!Z29+('Inndata Bygg'!X29+'Inndata Bygg'!Y29)*(1-Faktorer!$Z$58)*0.5)</f>
        <v>0</v>
      </c>
      <c r="AI26" s="574">
        <f>IF(('Inndata Bygg'!G29+'Inndata Bygg'!O29+'Inndata Bygg'!S29) = 0, 0,'Inndata Bygg'!AA29+('Inndata Bygg'!X29+'Inndata Bygg'!Y29)*(1-Faktorer!$Z$58)*0.5)</f>
        <v>0</v>
      </c>
      <c r="AJ26" s="634"/>
      <c r="AK26" s="90">
        <f t="shared" si="2"/>
        <v>0</v>
      </c>
      <c r="AL26" s="91">
        <f>'Resultater detaljert Bygg'!N26</f>
        <v>0</v>
      </c>
      <c r="AM26" s="91" t="str">
        <f>IF(F26=0,"",('Inndata Bygg'!E29+'Inndata Bygg'!F29)*ROUNDDOWN('Inndata Bygg'!I29,0)*(1+'Inndata Bygg'!K29))</f>
        <v/>
      </c>
    </row>
    <row r="27" spans="2:41">
      <c r="B27" s="339">
        <f>'Inndata Bygg'!B30</f>
        <v>0</v>
      </c>
      <c r="C27" s="340">
        <f>'Inndata Bygg'!C30</f>
        <v>0</v>
      </c>
      <c r="D27" s="341">
        <f>'Inndata Bygg'!D30</f>
        <v>0</v>
      </c>
      <c r="E27" s="421" cm="1">
        <f t="array" ref="E27">SUM(IFERROR(F27:AD27,0))</f>
        <v>0</v>
      </c>
      <c r="F27" s="330">
        <f>'Inndata Bygg'!E30</f>
        <v>0</v>
      </c>
      <c r="G27" s="330">
        <f>IF('Inndata Bygg'!AB30="Ja", -0.8*'Resultater detaljert Bygg'!F27, 0)</f>
        <v>0</v>
      </c>
      <c r="H27" s="330">
        <f>IF('Inndata Bygg'!AC30="Ja", -0.4*'Resultater detaljert Bygg'!$F27, 0)</f>
        <v>0</v>
      </c>
      <c r="I27" s="330">
        <f>IF('Inndata Bygg'!AD30="Ja", -1*'Resultater detaljert Bygg'!$F27, 0)</f>
        <v>0</v>
      </c>
      <c r="J27" s="330">
        <f>'Inndata Bygg'!O30*'Inndata Bygg'!P30</f>
        <v>0</v>
      </c>
      <c r="K27" s="330">
        <f>MAX(-0.75*(SUM('Resultater detaljert Bygg'!F27:J27)),-'Inndata Bygg'!O30*'Inndata Bygg'!Q30)</f>
        <v>0</v>
      </c>
      <c r="L27" s="330">
        <f>'Inndata Bygg'!S30*'Inndata Bygg'!T30</f>
        <v>0</v>
      </c>
      <c r="M27" s="330">
        <f>MAX(-0.75*(SUM('Resultater detaljert Bygg'!F27:I27,L27)),-'Inndata Bygg'!S30*'Inndata Bygg'!U30)</f>
        <v>0</v>
      </c>
      <c r="N27" s="331">
        <f>'Inndata Bygg'!F30</f>
        <v>0</v>
      </c>
      <c r="O27" s="330">
        <f>'Inndata Bygg'!O30*'Inndata Bygg'!R30</f>
        <v>0</v>
      </c>
      <c r="P27" s="332">
        <f>'Inndata Bygg'!S30*'Inndata Bygg'!V30</f>
        <v>0</v>
      </c>
      <c r="Q27" s="493">
        <f>SUM(F27:J27,L27)*'Inndata Bygg'!K30</f>
        <v>0</v>
      </c>
      <c r="R27" s="333">
        <f>(K27+M27)*'Inndata Bygg'!K30</f>
        <v>0</v>
      </c>
      <c r="S27" s="493">
        <f>N27*'Inndata Bygg'!K30</f>
        <v>0</v>
      </c>
      <c r="T27" s="494">
        <f>'Inndata Bygg'!G30*'Inndata Bygg'!K30*Transport_utslipp_til_avfallshånderting_per_kg</f>
        <v>0</v>
      </c>
      <c r="U27" s="330">
        <f>IF('Inndata Bygg'!E30 = 0, 0, 1.833*'Inndata Bygg'!X30*'Inndata Bygg'!K30*('Inndata Bygg'!G30*('Inndata Bygg'!L30*0.5+'Inndata Bygg'!M30*0.8) + (12/44)*('Inndata Bygg'!O30*'Inndata Bygg'!Q30+'Inndata Bygg'!S30*'Inndata Bygg'!U30)))</f>
        <v>0</v>
      </c>
      <c r="V27" s="335" cm="1">
        <f t="array" ref="V27">CalculateBiogenicCarbonUptake('ZERO-B Beregning'!$D$17,'Inndata Bygg'!H30,'Inndata Bygg'!G30,'Inndata Bygg'!L30,F27,AB27,AC27,AD27)</f>
        <v>0</v>
      </c>
      <c r="W27" s="576" cm="1">
        <f t="array" ref="W27">CalculateCementCarbonUptake('ZERO-B Beregning'!$D$17,'Inndata Bygg'!H30,'Inndata Bygg'!G30,'Inndata Bygg'!N30)</f>
        <v>0</v>
      </c>
      <c r="X27" s="331" cm="1">
        <f t="array" ref="X27">IF(SUM(F27:J27,L27)=0, 0, SUM(F27:J27,L27)*(1+'Inndata Bygg'!K30)*IF('Inndata Bygg'!H30&gt;50, 0, _xlfn.XLOOKUP('Inndata Bygg'!H30, År_etter_ferdigstillelse, IF(VALUE(LEFT('Inndata Bygg'!B30, 2))= 49, f_tid_x_f_tek_d_0_037_kumulativ, f_tid_x_f_tek_d_0_01_kumulativ))))</f>
        <v>0</v>
      </c>
      <c r="Y27" s="330">
        <f>IF(X27=0, 0, SUM(K27,M27)*(1+'Inndata Bygg'!K30)*IF('Inndata Bygg'!H30&gt;50, 0, _xlfn.XLOOKUP('Inndata Bygg'!H30, År_etter_ferdigstillelse, f_tid_x_f_tek_d_0_01_kumulativ)))</f>
        <v>0</v>
      </c>
      <c r="Z27" s="336">
        <f>IF(X27=0, 0, SUM(N27:P27)*(1+'Inndata Bygg'!K30)*IF('Inndata Bygg'!H30&gt;50, 0, _xlfn.XLOOKUP('Inndata Bygg'!H30, År_etter_ferdigstillelse, f_tid_x_f_tek_d_0_01_kumulativ)))</f>
        <v>0</v>
      </c>
      <c r="AA27" s="336">
        <f>IF(X27=0, 0, ('Inndata Bygg'!G30+'Inndata Bygg'!O30+'Inndata Bygg'!S30)*(1+'Inndata Bygg'!K30)*Transport_utslipp_til_avfallshånderting_per_kg*IF('Inndata Bygg'!H30&gt;50, 0, _xlfn.XLOOKUP('Inndata Bygg'!H30, År_etter_ferdigstillelse, f_tid_x_f_tek_d_0_01_kumulativ)))</f>
        <v>0</v>
      </c>
      <c r="AB27" s="580" cm="1">
        <f t="array" ref="AB27">CalculateEmissionsFromIncinerationOfWaste('ZERO-B Beregning'!$D$17,'Inndata Bygg'!H30,'Inndata Bygg'!G30,'Inndata Bygg'!X30,'Inndata Bygg'!L30,'Inndata Bygg'!M30,'Inndata Bygg'!B30)</f>
        <v>0</v>
      </c>
      <c r="AC27" s="335">
        <f>IF(('Inndata Bygg'!G30+'Inndata Bygg'!O30+'Inndata Bygg'!S30) = 0, 0,('Inndata Bygg'!G30+'Inndata Bygg'!O30+'Inndata Bygg'!S30)*(('Inndata Bygg'!X30+'Inndata Bygg'!Y30+'Inndata Bygg'!AA30)*Transport_utslipp_til_avfallshånderting_per_kg+('Inndata Bygg'!Z30*'ZERO-B Beregning'!D129/1000)*IF('ZERO-B Beregning'!F130=0,'ZERO-B Beregning'!D130,'ZERO-B Beregning'!F130))*_xlfn.XLOOKUP(51, År_etter_ferdigstillelse, f_tid_x_f_tek_d_0_01))</f>
        <v>0</v>
      </c>
      <c r="AD27" s="577">
        <f>IF(('Inndata Bygg'!G30+'Inndata Bygg'!O30+'Inndata Bygg'!S30) = 0, 0,1.833*('Inndata Bygg'!G30*('Inndata Bygg'!L30*0.5+'Inndata Bygg'!M30*0.8)+'Inndata Bygg'!O30*'Inndata Bygg'!Q30+'Inndata Bygg'!S30*'Inndata Bygg'!U30)*AG27*_xlfn.XLOOKUP(51, År_etter_ferdigstillelse,  f_tid_x_f_tek_d_0_01))</f>
        <v>0</v>
      </c>
      <c r="AE27" s="575" cm="1">
        <f t="array" ref="AE27">CalculateEmissionsReductionFromReuse('ZERO-B Beregning'!$D$17,'Inndata Bygg'!H30,'Inndata Bygg'!G30,'Inndata Bygg'!Z30,'Inndata Bygg'!X30,'Inndata Bygg'!Y30,F27,'Inndata Bygg'!B30)</f>
        <v>0</v>
      </c>
      <c r="AF27" s="333" cm="1">
        <f t="array" ref="AF27">CalculateEmissionReductionFromRecycling('ZERO-B Beregning'!$D$17,'Inndata Bygg'!H30,'Inndata Bygg'!G30,'Inndata Bygg'!AA30,'Inndata Bygg'!X30,'Inndata Bygg'!Y30,F27,'Inndata Bygg'!B30)</f>
        <v>0</v>
      </c>
      <c r="AG27" s="572">
        <f>IF(('Inndata Bygg'!G30+'Inndata Bygg'!O30+'Inndata Bygg'!S30) = 0, 0,'Inndata Bygg'!X30*Faktorer!$Z$58)</f>
        <v>0</v>
      </c>
      <c r="AH27" s="573">
        <f>IF(('Inndata Bygg'!G30+'Inndata Bygg'!O30+'Inndata Bygg'!S30) = 0, 0,'Inndata Bygg'!Z30+('Inndata Bygg'!X30+'Inndata Bygg'!Y30)*(1-Faktorer!$Z$58)*0.5)</f>
        <v>0</v>
      </c>
      <c r="AI27" s="574">
        <f>IF(('Inndata Bygg'!G30+'Inndata Bygg'!O30+'Inndata Bygg'!S30) = 0, 0,'Inndata Bygg'!AA30+('Inndata Bygg'!X30+'Inndata Bygg'!Y30)*(1-Faktorer!$Z$58)*0.5)</f>
        <v>0</v>
      </c>
      <c r="AJ27" s="634"/>
      <c r="AK27" s="90">
        <f t="shared" si="2"/>
        <v>0</v>
      </c>
      <c r="AL27" s="91">
        <f>'Resultater detaljert Bygg'!N27</f>
        <v>0</v>
      </c>
      <c r="AM27" s="91" t="str">
        <f>IF(F27=0,"",('Inndata Bygg'!E30+'Inndata Bygg'!F30)*ROUNDDOWN('Inndata Bygg'!I30,0)*(1+'Inndata Bygg'!K30))</f>
        <v/>
      </c>
    </row>
    <row r="28" spans="2:41">
      <c r="B28" s="339">
        <f>'Inndata Bygg'!B31</f>
        <v>0</v>
      </c>
      <c r="C28" s="340">
        <f>'Inndata Bygg'!C31</f>
        <v>0</v>
      </c>
      <c r="D28" s="341">
        <f>'Inndata Bygg'!D31</f>
        <v>0</v>
      </c>
      <c r="E28" s="421" cm="1">
        <f t="array" ref="E28">SUM(IFERROR(F28:AD28,0))</f>
        <v>0</v>
      </c>
      <c r="F28" s="330">
        <f>'Inndata Bygg'!E31</f>
        <v>0</v>
      </c>
      <c r="G28" s="330">
        <f>IF('Inndata Bygg'!AB31="Ja", -0.8*'Resultater detaljert Bygg'!F28, 0)</f>
        <v>0</v>
      </c>
      <c r="H28" s="330">
        <f>IF('Inndata Bygg'!AC31="Ja", -0.4*'Resultater detaljert Bygg'!$F28, 0)</f>
        <v>0</v>
      </c>
      <c r="I28" s="330">
        <f>IF('Inndata Bygg'!AD31="Ja", -1*'Resultater detaljert Bygg'!$F28, 0)</f>
        <v>0</v>
      </c>
      <c r="J28" s="330">
        <f>'Inndata Bygg'!O31*'Inndata Bygg'!P31</f>
        <v>0</v>
      </c>
      <c r="K28" s="330">
        <f>MAX(-0.75*(SUM('Resultater detaljert Bygg'!F28:J28)),-'Inndata Bygg'!O31*'Inndata Bygg'!Q31)</f>
        <v>0</v>
      </c>
      <c r="L28" s="330">
        <f>'Inndata Bygg'!S31*'Inndata Bygg'!T31</f>
        <v>0</v>
      </c>
      <c r="M28" s="330">
        <f>MAX(-0.75*(SUM('Resultater detaljert Bygg'!F28:I28,L28)),-'Inndata Bygg'!S31*'Inndata Bygg'!U31)</f>
        <v>0</v>
      </c>
      <c r="N28" s="331">
        <f>'Inndata Bygg'!F31</f>
        <v>0</v>
      </c>
      <c r="O28" s="330">
        <f>'Inndata Bygg'!O31*'Inndata Bygg'!R31</f>
        <v>0</v>
      </c>
      <c r="P28" s="332">
        <f>'Inndata Bygg'!S31*'Inndata Bygg'!V31</f>
        <v>0</v>
      </c>
      <c r="Q28" s="493">
        <f>SUM(F28:J28,L28)*'Inndata Bygg'!K31</f>
        <v>0</v>
      </c>
      <c r="R28" s="333">
        <f>(K28+M28)*'Inndata Bygg'!K31</f>
        <v>0</v>
      </c>
      <c r="S28" s="493">
        <f>N28*'Inndata Bygg'!K31</f>
        <v>0</v>
      </c>
      <c r="T28" s="494">
        <f>'Inndata Bygg'!G31*'Inndata Bygg'!K31*Transport_utslipp_til_avfallshånderting_per_kg</f>
        <v>0</v>
      </c>
      <c r="U28" s="330">
        <f>IF('Inndata Bygg'!E31 = 0, 0, 1.833*'Inndata Bygg'!X31*'Inndata Bygg'!K31*('Inndata Bygg'!G31*('Inndata Bygg'!L31*0.5+'Inndata Bygg'!M31*0.8) + (12/44)*('Inndata Bygg'!O31*'Inndata Bygg'!Q31+'Inndata Bygg'!S31*'Inndata Bygg'!U31)))</f>
        <v>0</v>
      </c>
      <c r="V28" s="335" cm="1">
        <f t="array" ref="V28">CalculateBiogenicCarbonUptake('ZERO-B Beregning'!$D$17,'Inndata Bygg'!H31,'Inndata Bygg'!G31,'Inndata Bygg'!L31,F28,AB28,AC28,AD28)</f>
        <v>0</v>
      </c>
      <c r="W28" s="576" cm="1">
        <f t="array" ref="W28">CalculateCementCarbonUptake('ZERO-B Beregning'!$D$17,'Inndata Bygg'!H31,'Inndata Bygg'!G31,'Inndata Bygg'!N31)</f>
        <v>0</v>
      </c>
      <c r="X28" s="331" cm="1">
        <f t="array" ref="X28">IF(SUM(F28:J28,L28)=0, 0, SUM(F28:J28,L28)*(1+'Inndata Bygg'!K31)*IF('Inndata Bygg'!H31&gt;50, 0, _xlfn.XLOOKUP('Inndata Bygg'!H31, År_etter_ferdigstillelse, IF(VALUE(LEFT('Inndata Bygg'!B31, 2))= 49, f_tid_x_f_tek_d_0_037_kumulativ, f_tid_x_f_tek_d_0_01_kumulativ))))</f>
        <v>0</v>
      </c>
      <c r="Y28" s="330">
        <f>IF(X28=0, 0, SUM(K28,M28)*(1+'Inndata Bygg'!K31)*IF('Inndata Bygg'!H31&gt;50, 0, _xlfn.XLOOKUP('Inndata Bygg'!H31, År_etter_ferdigstillelse, f_tid_x_f_tek_d_0_01_kumulativ)))</f>
        <v>0</v>
      </c>
      <c r="Z28" s="336">
        <f>IF(X28=0, 0, SUM(N28:P28)*(1+'Inndata Bygg'!K31)*IF('Inndata Bygg'!H31&gt;50, 0, _xlfn.XLOOKUP('Inndata Bygg'!H31, År_etter_ferdigstillelse, f_tid_x_f_tek_d_0_01_kumulativ)))</f>
        <v>0</v>
      </c>
      <c r="AA28" s="336">
        <f>IF(X28=0, 0, ('Inndata Bygg'!G31+'Inndata Bygg'!O31+'Inndata Bygg'!S31)*(1+'Inndata Bygg'!K31)*Transport_utslipp_til_avfallshånderting_per_kg*IF('Inndata Bygg'!H31&gt;50, 0, _xlfn.XLOOKUP('Inndata Bygg'!H31, År_etter_ferdigstillelse, f_tid_x_f_tek_d_0_01_kumulativ)))</f>
        <v>0</v>
      </c>
      <c r="AB28" s="580" cm="1">
        <f t="array" ref="AB28">CalculateEmissionsFromIncinerationOfWaste('ZERO-B Beregning'!$D$17,'Inndata Bygg'!H31,'Inndata Bygg'!G31,'Inndata Bygg'!X31,'Inndata Bygg'!L31,'Inndata Bygg'!M31,'Inndata Bygg'!B31)</f>
        <v>0</v>
      </c>
      <c r="AC28" s="335">
        <f>IF(('Inndata Bygg'!G31+'Inndata Bygg'!O31+'Inndata Bygg'!S31) = 0, 0,('Inndata Bygg'!G31+'Inndata Bygg'!O31+'Inndata Bygg'!S31)*(('Inndata Bygg'!X31+'Inndata Bygg'!Y31+'Inndata Bygg'!AA31)*Transport_utslipp_til_avfallshånderting_per_kg+('Inndata Bygg'!Z31*'ZERO-B Beregning'!D130/1000)*IF('ZERO-B Beregning'!F131=0,'ZERO-B Beregning'!D131,'ZERO-B Beregning'!F131))*_xlfn.XLOOKUP(51, År_etter_ferdigstillelse, f_tid_x_f_tek_d_0_01))</f>
        <v>0</v>
      </c>
      <c r="AD28" s="577">
        <f>IF(('Inndata Bygg'!G31+'Inndata Bygg'!O31+'Inndata Bygg'!S31) = 0, 0,1.833*('Inndata Bygg'!G31*('Inndata Bygg'!L31*0.5+'Inndata Bygg'!M31*0.8)+'Inndata Bygg'!O31*'Inndata Bygg'!Q31+'Inndata Bygg'!S31*'Inndata Bygg'!U31)*AG28*_xlfn.XLOOKUP(51, År_etter_ferdigstillelse,  f_tid_x_f_tek_d_0_01))</f>
        <v>0</v>
      </c>
      <c r="AE28" s="575" cm="1">
        <f t="array" ref="AE28">CalculateEmissionsReductionFromReuse('ZERO-B Beregning'!$D$17,'Inndata Bygg'!H31,'Inndata Bygg'!G31,'Inndata Bygg'!Z31,'Inndata Bygg'!X31,'Inndata Bygg'!Y31,F28,'Inndata Bygg'!B31)</f>
        <v>0</v>
      </c>
      <c r="AF28" s="333" cm="1">
        <f t="array" ref="AF28">CalculateEmissionReductionFromRecycling('ZERO-B Beregning'!$D$17,'Inndata Bygg'!H31,'Inndata Bygg'!G31,'Inndata Bygg'!AA31,'Inndata Bygg'!X31,'Inndata Bygg'!Y31,F28,'Inndata Bygg'!B31)</f>
        <v>0</v>
      </c>
      <c r="AG28" s="572">
        <f>IF(('Inndata Bygg'!G31+'Inndata Bygg'!O31+'Inndata Bygg'!S31) = 0, 0,'Inndata Bygg'!X31*Faktorer!$Z$58)</f>
        <v>0</v>
      </c>
      <c r="AH28" s="573">
        <f>IF(('Inndata Bygg'!G31+'Inndata Bygg'!O31+'Inndata Bygg'!S31) = 0, 0,'Inndata Bygg'!Z31+('Inndata Bygg'!X31+'Inndata Bygg'!Y31)*(1-Faktorer!$Z$58)*0.5)</f>
        <v>0</v>
      </c>
      <c r="AI28" s="574">
        <f>IF(('Inndata Bygg'!G31+'Inndata Bygg'!O31+'Inndata Bygg'!S31) = 0, 0,'Inndata Bygg'!AA31+('Inndata Bygg'!X31+'Inndata Bygg'!Y31)*(1-Faktorer!$Z$58)*0.5)</f>
        <v>0</v>
      </c>
      <c r="AJ28" s="634"/>
      <c r="AK28" s="90">
        <f t="shared" si="2"/>
        <v>0</v>
      </c>
      <c r="AL28" s="91">
        <f>'Resultater detaljert Bygg'!N28</f>
        <v>0</v>
      </c>
      <c r="AM28" s="91" t="str">
        <f>IF(F28=0,"",('Inndata Bygg'!E31+'Inndata Bygg'!F31)*ROUNDDOWN('Inndata Bygg'!I31,0)*(1+'Inndata Bygg'!K31))</f>
        <v/>
      </c>
    </row>
    <row r="29" spans="2:41">
      <c r="B29" s="339">
        <f>'Inndata Bygg'!B32</f>
        <v>0</v>
      </c>
      <c r="C29" s="340">
        <f>'Inndata Bygg'!C32</f>
        <v>0</v>
      </c>
      <c r="D29" s="341">
        <f>'Inndata Bygg'!D32</f>
        <v>0</v>
      </c>
      <c r="E29" s="421" cm="1">
        <f t="array" ref="E29">SUM(IFERROR(F29:AD29,0))</f>
        <v>0</v>
      </c>
      <c r="F29" s="330">
        <f>'Inndata Bygg'!E32</f>
        <v>0</v>
      </c>
      <c r="G29" s="330">
        <f>IF('Inndata Bygg'!AB32="Ja", -0.8*'Resultater detaljert Bygg'!F29, 0)</f>
        <v>0</v>
      </c>
      <c r="H29" s="330">
        <f>IF('Inndata Bygg'!AC32="Ja", -0.4*'Resultater detaljert Bygg'!$F29, 0)</f>
        <v>0</v>
      </c>
      <c r="I29" s="330">
        <f>IF('Inndata Bygg'!AD32="Ja", -1*'Resultater detaljert Bygg'!$F29, 0)</f>
        <v>0</v>
      </c>
      <c r="J29" s="330">
        <f>'Inndata Bygg'!O32*'Inndata Bygg'!P32</f>
        <v>0</v>
      </c>
      <c r="K29" s="330">
        <f>MAX(-0.75*(SUM('Resultater detaljert Bygg'!F29:J29)),-'Inndata Bygg'!O32*'Inndata Bygg'!Q32)</f>
        <v>0</v>
      </c>
      <c r="L29" s="330">
        <f>'Inndata Bygg'!S32*'Inndata Bygg'!T32</f>
        <v>0</v>
      </c>
      <c r="M29" s="330">
        <f>MAX(-0.75*(SUM('Resultater detaljert Bygg'!F29:I29,L29)),-'Inndata Bygg'!S32*'Inndata Bygg'!U32)</f>
        <v>0</v>
      </c>
      <c r="N29" s="331">
        <f>'Inndata Bygg'!F32</f>
        <v>0</v>
      </c>
      <c r="O29" s="330">
        <f>'Inndata Bygg'!O32*'Inndata Bygg'!R32</f>
        <v>0</v>
      </c>
      <c r="P29" s="332">
        <f>'Inndata Bygg'!S32*'Inndata Bygg'!V32</f>
        <v>0</v>
      </c>
      <c r="Q29" s="493">
        <f>SUM(F29:J29,L29)*'Inndata Bygg'!K32</f>
        <v>0</v>
      </c>
      <c r="R29" s="333">
        <f>(K29+M29)*'Inndata Bygg'!K32</f>
        <v>0</v>
      </c>
      <c r="S29" s="493">
        <f>N29*'Inndata Bygg'!K32</f>
        <v>0</v>
      </c>
      <c r="T29" s="494">
        <f>'Inndata Bygg'!G32*'Inndata Bygg'!K32*Transport_utslipp_til_avfallshånderting_per_kg</f>
        <v>0</v>
      </c>
      <c r="U29" s="330">
        <f>IF('Inndata Bygg'!E32 = 0, 0, 1.833*'Inndata Bygg'!X32*'Inndata Bygg'!K32*('Inndata Bygg'!G32*('Inndata Bygg'!L32*0.5+'Inndata Bygg'!M32*0.8) + (12/44)*('Inndata Bygg'!O32*'Inndata Bygg'!Q32+'Inndata Bygg'!S32*'Inndata Bygg'!U32)))</f>
        <v>0</v>
      </c>
      <c r="V29" s="335" cm="1">
        <f t="array" ref="V29">CalculateBiogenicCarbonUptake('ZERO-B Beregning'!$D$17,'Inndata Bygg'!H32,'Inndata Bygg'!G32,'Inndata Bygg'!L32,F29,AB29,AC29,AD29)</f>
        <v>0</v>
      </c>
      <c r="W29" s="576" cm="1">
        <f t="array" ref="W29">CalculateCementCarbonUptake('ZERO-B Beregning'!$D$17,'Inndata Bygg'!H32,'Inndata Bygg'!G32,'Inndata Bygg'!N32)</f>
        <v>0</v>
      </c>
      <c r="X29" s="331" cm="1">
        <f t="array" ref="X29">IF(SUM(F29:J29,L29)=0, 0, SUM(F29:J29,L29)*(1+'Inndata Bygg'!K32)*IF('Inndata Bygg'!H32&gt;50, 0, _xlfn.XLOOKUP('Inndata Bygg'!H32, År_etter_ferdigstillelse, IF(VALUE(LEFT('Inndata Bygg'!B32, 2))= 49, f_tid_x_f_tek_d_0_037_kumulativ, f_tid_x_f_tek_d_0_01_kumulativ))))</f>
        <v>0</v>
      </c>
      <c r="Y29" s="330">
        <f>IF(X29=0, 0, SUM(K29,M29)*(1+'Inndata Bygg'!K32)*IF('Inndata Bygg'!H32&gt;50, 0, _xlfn.XLOOKUP('Inndata Bygg'!H32, År_etter_ferdigstillelse, f_tid_x_f_tek_d_0_01_kumulativ)))</f>
        <v>0</v>
      </c>
      <c r="Z29" s="336">
        <f>IF(X29=0, 0, SUM(N29:P29)*(1+'Inndata Bygg'!K32)*IF('Inndata Bygg'!H32&gt;50, 0, _xlfn.XLOOKUP('Inndata Bygg'!H32, År_etter_ferdigstillelse, f_tid_x_f_tek_d_0_01_kumulativ)))</f>
        <v>0</v>
      </c>
      <c r="AA29" s="336">
        <f>IF(X29=0, 0, ('Inndata Bygg'!G32+'Inndata Bygg'!O32+'Inndata Bygg'!S32)*(1+'Inndata Bygg'!K32)*Transport_utslipp_til_avfallshånderting_per_kg*IF('Inndata Bygg'!H32&gt;50, 0, _xlfn.XLOOKUP('Inndata Bygg'!H32, År_etter_ferdigstillelse, f_tid_x_f_tek_d_0_01_kumulativ)))</f>
        <v>0</v>
      </c>
      <c r="AB29" s="580" cm="1">
        <f t="array" ref="AB29">CalculateEmissionsFromIncinerationOfWaste('ZERO-B Beregning'!$D$17,'Inndata Bygg'!H32,'Inndata Bygg'!G32,'Inndata Bygg'!X32,'Inndata Bygg'!L32,'Inndata Bygg'!M32,'Inndata Bygg'!B32)</f>
        <v>0</v>
      </c>
      <c r="AC29" s="335">
        <f>IF(('Inndata Bygg'!G32+'Inndata Bygg'!O32+'Inndata Bygg'!S32) = 0, 0,('Inndata Bygg'!G32+'Inndata Bygg'!O32+'Inndata Bygg'!S32)*(('Inndata Bygg'!X32+'Inndata Bygg'!Y32+'Inndata Bygg'!AA32)*Transport_utslipp_til_avfallshånderting_per_kg+('Inndata Bygg'!Z32*'ZERO-B Beregning'!D131/1000)*IF('ZERO-B Beregning'!F132=0,'ZERO-B Beregning'!D132,'ZERO-B Beregning'!F132))*_xlfn.XLOOKUP(51, År_etter_ferdigstillelse, f_tid_x_f_tek_d_0_01))</f>
        <v>0</v>
      </c>
      <c r="AD29" s="577">
        <f>IF(('Inndata Bygg'!G32+'Inndata Bygg'!O32+'Inndata Bygg'!S32) = 0, 0,1.833*('Inndata Bygg'!G32*('Inndata Bygg'!L32*0.5+'Inndata Bygg'!M32*0.8)+'Inndata Bygg'!O32*'Inndata Bygg'!Q32+'Inndata Bygg'!S32*'Inndata Bygg'!U32)*AG29*_xlfn.XLOOKUP(51, År_etter_ferdigstillelse,  f_tid_x_f_tek_d_0_01))</f>
        <v>0</v>
      </c>
      <c r="AE29" s="575" cm="1">
        <f t="array" ref="AE29">CalculateEmissionsReductionFromReuse('ZERO-B Beregning'!$D$17,'Inndata Bygg'!H32,'Inndata Bygg'!G32,'Inndata Bygg'!Z32,'Inndata Bygg'!X32,'Inndata Bygg'!Y32,F29,'Inndata Bygg'!B32)</f>
        <v>0</v>
      </c>
      <c r="AF29" s="333" cm="1">
        <f t="array" ref="AF29">CalculateEmissionReductionFromRecycling('ZERO-B Beregning'!$D$17,'Inndata Bygg'!H32,'Inndata Bygg'!G32,'Inndata Bygg'!AA32,'Inndata Bygg'!X32,'Inndata Bygg'!Y32,F29,'Inndata Bygg'!B32)</f>
        <v>0</v>
      </c>
      <c r="AG29" s="572">
        <f>IF(('Inndata Bygg'!G32+'Inndata Bygg'!O32+'Inndata Bygg'!S32) = 0, 0,'Inndata Bygg'!X32*Faktorer!$Z$58)</f>
        <v>0</v>
      </c>
      <c r="AH29" s="573">
        <f>IF(('Inndata Bygg'!G32+'Inndata Bygg'!O32+'Inndata Bygg'!S32) = 0, 0,'Inndata Bygg'!Z32+('Inndata Bygg'!X32+'Inndata Bygg'!Y32)*(1-Faktorer!$Z$58)*0.5)</f>
        <v>0</v>
      </c>
      <c r="AI29" s="574">
        <f>IF(('Inndata Bygg'!G32+'Inndata Bygg'!O32+'Inndata Bygg'!S32) = 0, 0,'Inndata Bygg'!AA32+('Inndata Bygg'!X32+'Inndata Bygg'!Y32)*(1-Faktorer!$Z$58)*0.5)</f>
        <v>0</v>
      </c>
      <c r="AJ29" s="634"/>
      <c r="AK29" s="90">
        <f t="shared" si="2"/>
        <v>0</v>
      </c>
      <c r="AL29" s="91">
        <f>'Resultater detaljert Bygg'!N29</f>
        <v>0</v>
      </c>
      <c r="AM29" s="91" t="str">
        <f>IF(F29=0,"",('Inndata Bygg'!E32+'Inndata Bygg'!F32)*ROUNDDOWN('Inndata Bygg'!I32,0)*(1+'Inndata Bygg'!K32))</f>
        <v/>
      </c>
    </row>
    <row r="30" spans="2:41">
      <c r="B30" s="339">
        <f>'Inndata Bygg'!B33</f>
        <v>0</v>
      </c>
      <c r="C30" s="340">
        <f>'Inndata Bygg'!C33</f>
        <v>0</v>
      </c>
      <c r="D30" s="341">
        <f>'Inndata Bygg'!D33</f>
        <v>0</v>
      </c>
      <c r="E30" s="421" cm="1">
        <f t="array" ref="E30">SUM(IFERROR(F30:AD30,0))</f>
        <v>0</v>
      </c>
      <c r="F30" s="330">
        <f>'Inndata Bygg'!E33</f>
        <v>0</v>
      </c>
      <c r="G30" s="330">
        <f>IF('Inndata Bygg'!AB33="Ja", -0.8*'Resultater detaljert Bygg'!F30, 0)</f>
        <v>0</v>
      </c>
      <c r="H30" s="330">
        <f>IF('Inndata Bygg'!AC33="Ja", -0.4*'Resultater detaljert Bygg'!$F30, 0)</f>
        <v>0</v>
      </c>
      <c r="I30" s="330">
        <f>IF('Inndata Bygg'!AD33="Ja", -1*'Resultater detaljert Bygg'!$F30, 0)</f>
        <v>0</v>
      </c>
      <c r="J30" s="330">
        <f>'Inndata Bygg'!O33*'Inndata Bygg'!P33</f>
        <v>0</v>
      </c>
      <c r="K30" s="330">
        <f>MAX(-0.75*(SUM('Resultater detaljert Bygg'!F30:J30)),-'Inndata Bygg'!O33*'Inndata Bygg'!Q33)</f>
        <v>0</v>
      </c>
      <c r="L30" s="330">
        <f>'Inndata Bygg'!S33*'Inndata Bygg'!T33</f>
        <v>0</v>
      </c>
      <c r="M30" s="330">
        <f>MAX(-0.75*(SUM('Resultater detaljert Bygg'!F30:I30,L30)),-'Inndata Bygg'!S33*'Inndata Bygg'!U33)</f>
        <v>0</v>
      </c>
      <c r="N30" s="331">
        <f>'Inndata Bygg'!F33</f>
        <v>0</v>
      </c>
      <c r="O30" s="330">
        <f>'Inndata Bygg'!O33*'Inndata Bygg'!R33</f>
        <v>0</v>
      </c>
      <c r="P30" s="332">
        <f>'Inndata Bygg'!S33*'Inndata Bygg'!V33</f>
        <v>0</v>
      </c>
      <c r="Q30" s="493">
        <f>SUM(F30:J30,L30)*'Inndata Bygg'!K33</f>
        <v>0</v>
      </c>
      <c r="R30" s="333">
        <f>(K30+M30)*'Inndata Bygg'!K33</f>
        <v>0</v>
      </c>
      <c r="S30" s="493">
        <f>N30*'Inndata Bygg'!K33</f>
        <v>0</v>
      </c>
      <c r="T30" s="494">
        <f>'Inndata Bygg'!G33*'Inndata Bygg'!K33*Transport_utslipp_til_avfallshånderting_per_kg</f>
        <v>0</v>
      </c>
      <c r="U30" s="330">
        <f>IF('Inndata Bygg'!E33 = 0, 0, 1.833*'Inndata Bygg'!X33*'Inndata Bygg'!K33*('Inndata Bygg'!G33*('Inndata Bygg'!L33*0.5+'Inndata Bygg'!M33*0.8) + (12/44)*('Inndata Bygg'!O33*'Inndata Bygg'!Q33+'Inndata Bygg'!S33*'Inndata Bygg'!U33)))</f>
        <v>0</v>
      </c>
      <c r="V30" s="335" cm="1">
        <f t="array" ref="V30">CalculateBiogenicCarbonUptake('ZERO-B Beregning'!$D$17,'Inndata Bygg'!H33,'Inndata Bygg'!G33,'Inndata Bygg'!L33,F30,AB30,AC30,AD30)</f>
        <v>0</v>
      </c>
      <c r="W30" s="576" cm="1">
        <f t="array" ref="W30">CalculateCementCarbonUptake('ZERO-B Beregning'!$D$17,'Inndata Bygg'!H33,'Inndata Bygg'!G33,'Inndata Bygg'!N33)</f>
        <v>0</v>
      </c>
      <c r="X30" s="331" cm="1">
        <f t="array" ref="X30">IF(SUM(F30:J30,L30)=0, 0, SUM(F30:J30,L30)*(1+'Inndata Bygg'!K33)*IF('Inndata Bygg'!H33&gt;50, 0, _xlfn.XLOOKUP('Inndata Bygg'!H33, År_etter_ferdigstillelse, IF(VALUE(LEFT('Inndata Bygg'!B33, 2))= 49, f_tid_x_f_tek_d_0_037_kumulativ, f_tid_x_f_tek_d_0_01_kumulativ))))</f>
        <v>0</v>
      </c>
      <c r="Y30" s="330">
        <f>IF(X30=0, 0, SUM(K30,M30)*(1+'Inndata Bygg'!K33)*IF('Inndata Bygg'!H33&gt;50, 0, _xlfn.XLOOKUP('Inndata Bygg'!H33, År_etter_ferdigstillelse, f_tid_x_f_tek_d_0_01_kumulativ)))</f>
        <v>0</v>
      </c>
      <c r="Z30" s="336">
        <f>IF(X30=0, 0, SUM(N30:P30)*(1+'Inndata Bygg'!K33)*IF('Inndata Bygg'!H33&gt;50, 0, _xlfn.XLOOKUP('Inndata Bygg'!H33, År_etter_ferdigstillelse, f_tid_x_f_tek_d_0_01_kumulativ)))</f>
        <v>0</v>
      </c>
      <c r="AA30" s="336">
        <f>IF(X30=0, 0, ('Inndata Bygg'!G33+'Inndata Bygg'!O33+'Inndata Bygg'!S33)*(1+'Inndata Bygg'!K33)*Transport_utslipp_til_avfallshånderting_per_kg*IF('Inndata Bygg'!H33&gt;50, 0, _xlfn.XLOOKUP('Inndata Bygg'!H33, År_etter_ferdigstillelse, f_tid_x_f_tek_d_0_01_kumulativ)))</f>
        <v>0</v>
      </c>
      <c r="AB30" s="580" cm="1">
        <f t="array" ref="AB30">CalculateEmissionsFromIncinerationOfWaste('ZERO-B Beregning'!$D$17,'Inndata Bygg'!H33,'Inndata Bygg'!G33,'Inndata Bygg'!X33,'Inndata Bygg'!L33,'Inndata Bygg'!M33,'Inndata Bygg'!B33)</f>
        <v>0</v>
      </c>
      <c r="AC30" s="335">
        <f>IF(('Inndata Bygg'!G33+'Inndata Bygg'!O33+'Inndata Bygg'!S33) = 0, 0,('Inndata Bygg'!G33+'Inndata Bygg'!O33+'Inndata Bygg'!S33)*(('Inndata Bygg'!X33+'Inndata Bygg'!Y33+'Inndata Bygg'!AA33)*Transport_utslipp_til_avfallshånderting_per_kg+('Inndata Bygg'!Z33*'ZERO-B Beregning'!D132/1000)*IF('ZERO-B Beregning'!F133=0,'ZERO-B Beregning'!D133,'ZERO-B Beregning'!F133))*_xlfn.XLOOKUP(51, År_etter_ferdigstillelse, f_tid_x_f_tek_d_0_01))</f>
        <v>0</v>
      </c>
      <c r="AD30" s="577">
        <f>IF(('Inndata Bygg'!G33+'Inndata Bygg'!O33+'Inndata Bygg'!S33) = 0, 0,1.833*('Inndata Bygg'!G33*('Inndata Bygg'!L33*0.5+'Inndata Bygg'!M33*0.8)+'Inndata Bygg'!O33*'Inndata Bygg'!Q33+'Inndata Bygg'!S33*'Inndata Bygg'!U33)*AG30*_xlfn.XLOOKUP(51, År_etter_ferdigstillelse,  f_tid_x_f_tek_d_0_01))</f>
        <v>0</v>
      </c>
      <c r="AE30" s="575" cm="1">
        <f t="array" ref="AE30">CalculateEmissionsReductionFromReuse('ZERO-B Beregning'!$D$17,'Inndata Bygg'!H33,'Inndata Bygg'!G33,'Inndata Bygg'!Z33,'Inndata Bygg'!X33,'Inndata Bygg'!Y33,F30,'Inndata Bygg'!B33)</f>
        <v>0</v>
      </c>
      <c r="AF30" s="333" cm="1">
        <f t="array" ref="AF30">CalculateEmissionReductionFromRecycling('ZERO-B Beregning'!$D$17,'Inndata Bygg'!H33,'Inndata Bygg'!G33,'Inndata Bygg'!AA33,'Inndata Bygg'!X33,'Inndata Bygg'!Y33,F30,'Inndata Bygg'!B33)</f>
        <v>0</v>
      </c>
      <c r="AG30" s="572">
        <f>IF(('Inndata Bygg'!G33+'Inndata Bygg'!O33+'Inndata Bygg'!S33) = 0, 0,'Inndata Bygg'!X33*Faktorer!$Z$58)</f>
        <v>0</v>
      </c>
      <c r="AH30" s="573">
        <f>IF(('Inndata Bygg'!G33+'Inndata Bygg'!O33+'Inndata Bygg'!S33) = 0, 0,'Inndata Bygg'!Z33+('Inndata Bygg'!X33+'Inndata Bygg'!Y33)*(1-Faktorer!$Z$58)*0.5)</f>
        <v>0</v>
      </c>
      <c r="AI30" s="574">
        <f>IF(('Inndata Bygg'!G33+'Inndata Bygg'!O33+'Inndata Bygg'!S33) = 0, 0,'Inndata Bygg'!AA33+('Inndata Bygg'!X33+'Inndata Bygg'!Y33)*(1-Faktorer!$Z$58)*0.5)</f>
        <v>0</v>
      </c>
      <c r="AJ30" s="634"/>
      <c r="AK30" s="90">
        <f t="shared" si="2"/>
        <v>0</v>
      </c>
      <c r="AL30" s="91">
        <f>'Resultater detaljert Bygg'!N30</f>
        <v>0</v>
      </c>
      <c r="AM30" s="91" t="str">
        <f>IF(F30=0,"",('Inndata Bygg'!E33+'Inndata Bygg'!F33)*ROUNDDOWN('Inndata Bygg'!I33,0)*(1+'Inndata Bygg'!K33))</f>
        <v/>
      </c>
    </row>
    <row r="31" spans="2:41">
      <c r="B31" s="339">
        <f>'Inndata Bygg'!B34</f>
        <v>0</v>
      </c>
      <c r="C31" s="340">
        <f>'Inndata Bygg'!C34</f>
        <v>0</v>
      </c>
      <c r="D31" s="341">
        <f>'Inndata Bygg'!D34</f>
        <v>0</v>
      </c>
      <c r="E31" s="421" cm="1">
        <f t="array" ref="E31">SUM(IFERROR(F31:AD31,0))</f>
        <v>0</v>
      </c>
      <c r="F31" s="330">
        <f>'Inndata Bygg'!E34</f>
        <v>0</v>
      </c>
      <c r="G31" s="330">
        <f>IF('Inndata Bygg'!AB34="Ja", -0.8*'Resultater detaljert Bygg'!F31, 0)</f>
        <v>0</v>
      </c>
      <c r="H31" s="330">
        <f>IF('Inndata Bygg'!AC34="Ja", -0.4*'Resultater detaljert Bygg'!$F31, 0)</f>
        <v>0</v>
      </c>
      <c r="I31" s="330">
        <f>IF('Inndata Bygg'!AD34="Ja", -1*'Resultater detaljert Bygg'!$F31, 0)</f>
        <v>0</v>
      </c>
      <c r="J31" s="330">
        <f>'Inndata Bygg'!O34*'Inndata Bygg'!P34</f>
        <v>0</v>
      </c>
      <c r="K31" s="330">
        <f>MAX(-0.75*(SUM('Resultater detaljert Bygg'!F31:J31)),-'Inndata Bygg'!O34*'Inndata Bygg'!Q34)</f>
        <v>0</v>
      </c>
      <c r="L31" s="330">
        <f>'Inndata Bygg'!S34*'Inndata Bygg'!T34</f>
        <v>0</v>
      </c>
      <c r="M31" s="330">
        <f>MAX(-0.75*(SUM('Resultater detaljert Bygg'!F31:I31,L31)),-'Inndata Bygg'!S34*'Inndata Bygg'!U34)</f>
        <v>0</v>
      </c>
      <c r="N31" s="331">
        <f>'Inndata Bygg'!F34</f>
        <v>0</v>
      </c>
      <c r="O31" s="330">
        <f>'Inndata Bygg'!O34*'Inndata Bygg'!R34</f>
        <v>0</v>
      </c>
      <c r="P31" s="332">
        <f>'Inndata Bygg'!S34*'Inndata Bygg'!V34</f>
        <v>0</v>
      </c>
      <c r="Q31" s="493">
        <f>SUM(F31:J31,L31)*'Inndata Bygg'!K34</f>
        <v>0</v>
      </c>
      <c r="R31" s="333">
        <f>(K31+M31)*'Inndata Bygg'!K34</f>
        <v>0</v>
      </c>
      <c r="S31" s="493">
        <f>N31*'Inndata Bygg'!K34</f>
        <v>0</v>
      </c>
      <c r="T31" s="494">
        <f>'Inndata Bygg'!G34*'Inndata Bygg'!K34*Transport_utslipp_til_avfallshånderting_per_kg</f>
        <v>0</v>
      </c>
      <c r="U31" s="330">
        <f>IF('Inndata Bygg'!E34 = 0, 0, 1.833*'Inndata Bygg'!X34*'Inndata Bygg'!K34*('Inndata Bygg'!G34*('Inndata Bygg'!L34*0.5+'Inndata Bygg'!M34*0.8) + (12/44)*('Inndata Bygg'!O34*'Inndata Bygg'!Q34+'Inndata Bygg'!S34*'Inndata Bygg'!U34)))</f>
        <v>0</v>
      </c>
      <c r="V31" s="335" cm="1">
        <f t="array" ref="V31">CalculateBiogenicCarbonUptake('ZERO-B Beregning'!$D$17,'Inndata Bygg'!H34,'Inndata Bygg'!G34,'Inndata Bygg'!L34,F31,AB31,AC31,AD31)</f>
        <v>0</v>
      </c>
      <c r="W31" s="576" cm="1">
        <f t="array" ref="W31">CalculateCementCarbonUptake('ZERO-B Beregning'!$D$17,'Inndata Bygg'!H34,'Inndata Bygg'!G34,'Inndata Bygg'!N34)</f>
        <v>0</v>
      </c>
      <c r="X31" s="331" cm="1">
        <f t="array" ref="X31">IF(SUM(F31:J31,L31)=0, 0, SUM(F31:J31,L31)*(1+'Inndata Bygg'!K34)*IF('Inndata Bygg'!H34&gt;50, 0, _xlfn.XLOOKUP('Inndata Bygg'!H34, År_etter_ferdigstillelse, IF(VALUE(LEFT('Inndata Bygg'!B34, 2))= 49, f_tid_x_f_tek_d_0_037_kumulativ, f_tid_x_f_tek_d_0_01_kumulativ))))</f>
        <v>0</v>
      </c>
      <c r="Y31" s="330">
        <f>IF(X31=0, 0, SUM(K31,M31)*(1+'Inndata Bygg'!K34)*IF('Inndata Bygg'!H34&gt;50, 0, _xlfn.XLOOKUP('Inndata Bygg'!H34, År_etter_ferdigstillelse, f_tid_x_f_tek_d_0_01_kumulativ)))</f>
        <v>0</v>
      </c>
      <c r="Z31" s="336">
        <f>IF(X31=0, 0, SUM(N31:P31)*(1+'Inndata Bygg'!K34)*IF('Inndata Bygg'!H34&gt;50, 0, _xlfn.XLOOKUP('Inndata Bygg'!H34, År_etter_ferdigstillelse, f_tid_x_f_tek_d_0_01_kumulativ)))</f>
        <v>0</v>
      </c>
      <c r="AA31" s="336">
        <f>IF(X31=0, 0, ('Inndata Bygg'!G34+'Inndata Bygg'!O34+'Inndata Bygg'!S34)*(1+'Inndata Bygg'!K34)*Transport_utslipp_til_avfallshånderting_per_kg*IF('Inndata Bygg'!H34&gt;50, 0, _xlfn.XLOOKUP('Inndata Bygg'!H34, År_etter_ferdigstillelse, f_tid_x_f_tek_d_0_01_kumulativ)))</f>
        <v>0</v>
      </c>
      <c r="AB31" s="580" cm="1">
        <f t="array" ref="AB31">CalculateEmissionsFromIncinerationOfWaste('ZERO-B Beregning'!$D$17,'Inndata Bygg'!H34,'Inndata Bygg'!G34,'Inndata Bygg'!X34,'Inndata Bygg'!L34,'Inndata Bygg'!M34,'Inndata Bygg'!B34)</f>
        <v>0</v>
      </c>
      <c r="AC31" s="335">
        <f>IF(('Inndata Bygg'!G34+'Inndata Bygg'!O34+'Inndata Bygg'!S34) = 0, 0,('Inndata Bygg'!G34+'Inndata Bygg'!O34+'Inndata Bygg'!S34)*(('Inndata Bygg'!X34+'Inndata Bygg'!Y34+'Inndata Bygg'!AA34)*Transport_utslipp_til_avfallshånderting_per_kg+('Inndata Bygg'!Z34*'ZERO-B Beregning'!D133/1000)*IF('ZERO-B Beregning'!F134=0,'ZERO-B Beregning'!D134,'ZERO-B Beregning'!F134))*_xlfn.XLOOKUP(51, År_etter_ferdigstillelse, f_tid_x_f_tek_d_0_01))</f>
        <v>0</v>
      </c>
      <c r="AD31" s="577">
        <f>IF(('Inndata Bygg'!G34+'Inndata Bygg'!O34+'Inndata Bygg'!S34) = 0, 0,1.833*('Inndata Bygg'!G34*('Inndata Bygg'!L34*0.5+'Inndata Bygg'!M34*0.8)+'Inndata Bygg'!O34*'Inndata Bygg'!Q34+'Inndata Bygg'!S34*'Inndata Bygg'!U34)*AG31*_xlfn.XLOOKUP(51, År_etter_ferdigstillelse,  f_tid_x_f_tek_d_0_01))</f>
        <v>0</v>
      </c>
      <c r="AE31" s="575" cm="1">
        <f t="array" ref="AE31">CalculateEmissionsReductionFromReuse('ZERO-B Beregning'!$D$17,'Inndata Bygg'!H34,'Inndata Bygg'!G34,'Inndata Bygg'!Z34,'Inndata Bygg'!X34,'Inndata Bygg'!Y34,F31,'Inndata Bygg'!B34)</f>
        <v>0</v>
      </c>
      <c r="AF31" s="333" cm="1">
        <f t="array" ref="AF31">CalculateEmissionReductionFromRecycling('ZERO-B Beregning'!$D$17,'Inndata Bygg'!H34,'Inndata Bygg'!G34,'Inndata Bygg'!AA34,'Inndata Bygg'!X34,'Inndata Bygg'!Y34,F31,'Inndata Bygg'!B34)</f>
        <v>0</v>
      </c>
      <c r="AG31" s="572">
        <f>IF(('Inndata Bygg'!G34+'Inndata Bygg'!O34+'Inndata Bygg'!S34) = 0, 0,'Inndata Bygg'!X34*Faktorer!$Z$58)</f>
        <v>0</v>
      </c>
      <c r="AH31" s="573">
        <f>IF(('Inndata Bygg'!G34+'Inndata Bygg'!O34+'Inndata Bygg'!S34) = 0, 0,'Inndata Bygg'!Z34+('Inndata Bygg'!X34+'Inndata Bygg'!Y34)*(1-Faktorer!$Z$58)*0.5)</f>
        <v>0</v>
      </c>
      <c r="AI31" s="574">
        <f>IF(('Inndata Bygg'!G34+'Inndata Bygg'!O34+'Inndata Bygg'!S34) = 0, 0,'Inndata Bygg'!AA34+('Inndata Bygg'!X34+'Inndata Bygg'!Y34)*(1-Faktorer!$Z$58)*0.5)</f>
        <v>0</v>
      </c>
      <c r="AJ31" s="634"/>
      <c r="AK31" s="90">
        <f t="shared" si="2"/>
        <v>0</v>
      </c>
      <c r="AL31" s="91">
        <f>'Resultater detaljert Bygg'!N31</f>
        <v>0</v>
      </c>
      <c r="AM31" s="91" t="str">
        <f>IF(F31=0,"",('Inndata Bygg'!E34+'Inndata Bygg'!F34)*ROUNDDOWN('Inndata Bygg'!I34,0)*(1+'Inndata Bygg'!K34))</f>
        <v/>
      </c>
    </row>
    <row r="32" spans="2:41">
      <c r="B32" s="339">
        <f>'Inndata Bygg'!B35</f>
        <v>0</v>
      </c>
      <c r="C32" s="340">
        <f>'Inndata Bygg'!C35</f>
        <v>0</v>
      </c>
      <c r="D32" s="341">
        <f>'Inndata Bygg'!D35</f>
        <v>0</v>
      </c>
      <c r="E32" s="421" cm="1">
        <f t="array" ref="E32">SUM(IFERROR(F32:AD32,0))</f>
        <v>0</v>
      </c>
      <c r="F32" s="330">
        <f>'Inndata Bygg'!E35</f>
        <v>0</v>
      </c>
      <c r="G32" s="330">
        <f>IF('Inndata Bygg'!AB35="Ja", -0.8*'Resultater detaljert Bygg'!F32, 0)</f>
        <v>0</v>
      </c>
      <c r="H32" s="330">
        <f>IF('Inndata Bygg'!AC35="Ja", -0.4*'Resultater detaljert Bygg'!$F32, 0)</f>
        <v>0</v>
      </c>
      <c r="I32" s="330">
        <f>IF('Inndata Bygg'!AD35="Ja", -1*'Resultater detaljert Bygg'!$F32, 0)</f>
        <v>0</v>
      </c>
      <c r="J32" s="330">
        <f>'Inndata Bygg'!O35*'Inndata Bygg'!P35</f>
        <v>0</v>
      </c>
      <c r="K32" s="330">
        <f>MAX(-0.75*(SUM('Resultater detaljert Bygg'!F32:J32)),-'Inndata Bygg'!O35*'Inndata Bygg'!Q35)</f>
        <v>0</v>
      </c>
      <c r="L32" s="330">
        <f>'Inndata Bygg'!S35*'Inndata Bygg'!T35</f>
        <v>0</v>
      </c>
      <c r="M32" s="330">
        <f>MAX(-0.75*(SUM('Resultater detaljert Bygg'!F32:I32,L32)),-'Inndata Bygg'!S35*'Inndata Bygg'!U35)</f>
        <v>0</v>
      </c>
      <c r="N32" s="331">
        <f>'Inndata Bygg'!F35</f>
        <v>0</v>
      </c>
      <c r="O32" s="330">
        <f>'Inndata Bygg'!O35*'Inndata Bygg'!R35</f>
        <v>0</v>
      </c>
      <c r="P32" s="332">
        <f>'Inndata Bygg'!S35*'Inndata Bygg'!V35</f>
        <v>0</v>
      </c>
      <c r="Q32" s="493">
        <f>SUM(F32:J32,L32)*'Inndata Bygg'!K35</f>
        <v>0</v>
      </c>
      <c r="R32" s="333">
        <f>(K32+M32)*'Inndata Bygg'!K35</f>
        <v>0</v>
      </c>
      <c r="S32" s="493">
        <f>N32*'Inndata Bygg'!K35</f>
        <v>0</v>
      </c>
      <c r="T32" s="494">
        <f>'Inndata Bygg'!G35*'Inndata Bygg'!K35*Transport_utslipp_til_avfallshånderting_per_kg</f>
        <v>0</v>
      </c>
      <c r="U32" s="330">
        <f>IF('Inndata Bygg'!E35 = 0, 0, 1.833*'Inndata Bygg'!X35*'Inndata Bygg'!K35*('Inndata Bygg'!G35*('Inndata Bygg'!L35*0.5+'Inndata Bygg'!M35*0.8) + (12/44)*('Inndata Bygg'!O35*'Inndata Bygg'!Q35+'Inndata Bygg'!S35*'Inndata Bygg'!U35)))</f>
        <v>0</v>
      </c>
      <c r="V32" s="335" cm="1">
        <f t="array" ref="V32">CalculateBiogenicCarbonUptake('ZERO-B Beregning'!$D$17,'Inndata Bygg'!H35,'Inndata Bygg'!G35,'Inndata Bygg'!L35,F32,AB32,AC32,AD32)</f>
        <v>0</v>
      </c>
      <c r="W32" s="576" cm="1">
        <f t="array" ref="W32">CalculateCementCarbonUptake('ZERO-B Beregning'!$D$17,'Inndata Bygg'!H35,'Inndata Bygg'!G35,'Inndata Bygg'!N35)</f>
        <v>0</v>
      </c>
      <c r="X32" s="331" cm="1">
        <f t="array" ref="X32">IF(SUM(F32:J32,L32)=0, 0, SUM(F32:J32,L32)*(1+'Inndata Bygg'!K35)*IF('Inndata Bygg'!H35&gt;50, 0, _xlfn.XLOOKUP('Inndata Bygg'!H35, År_etter_ferdigstillelse, IF(VALUE(LEFT('Inndata Bygg'!B35, 2))= 49, f_tid_x_f_tek_d_0_037_kumulativ, f_tid_x_f_tek_d_0_01_kumulativ))))</f>
        <v>0</v>
      </c>
      <c r="Y32" s="330">
        <f>IF(X32=0, 0, SUM(K32,M32)*(1+'Inndata Bygg'!K35)*IF('Inndata Bygg'!H35&gt;50, 0, _xlfn.XLOOKUP('Inndata Bygg'!H35, År_etter_ferdigstillelse, f_tid_x_f_tek_d_0_01_kumulativ)))</f>
        <v>0</v>
      </c>
      <c r="Z32" s="336">
        <f>IF(X32=0, 0, SUM(N32:P32)*(1+'Inndata Bygg'!K35)*IF('Inndata Bygg'!H35&gt;50, 0, _xlfn.XLOOKUP('Inndata Bygg'!H35, År_etter_ferdigstillelse, f_tid_x_f_tek_d_0_01_kumulativ)))</f>
        <v>0</v>
      </c>
      <c r="AA32" s="336">
        <f>IF(X32=0, 0, ('Inndata Bygg'!G35+'Inndata Bygg'!O35+'Inndata Bygg'!S35)*(1+'Inndata Bygg'!K35)*Transport_utslipp_til_avfallshånderting_per_kg*IF('Inndata Bygg'!H35&gt;50, 0, _xlfn.XLOOKUP('Inndata Bygg'!H35, År_etter_ferdigstillelse, f_tid_x_f_tek_d_0_01_kumulativ)))</f>
        <v>0</v>
      </c>
      <c r="AB32" s="580" cm="1">
        <f t="array" ref="AB32">CalculateEmissionsFromIncinerationOfWaste('ZERO-B Beregning'!$D$17,'Inndata Bygg'!H35,'Inndata Bygg'!G35,'Inndata Bygg'!X35,'Inndata Bygg'!L35,'Inndata Bygg'!M35,'Inndata Bygg'!B35)</f>
        <v>0</v>
      </c>
      <c r="AC32" s="335">
        <f>IF(('Inndata Bygg'!G35+'Inndata Bygg'!O35+'Inndata Bygg'!S35) = 0, 0,('Inndata Bygg'!G35+'Inndata Bygg'!O35+'Inndata Bygg'!S35)*(('Inndata Bygg'!X35+'Inndata Bygg'!Y35+'Inndata Bygg'!AA35)*Transport_utslipp_til_avfallshånderting_per_kg+('Inndata Bygg'!Z35*'ZERO-B Beregning'!D134/1000)*IF('ZERO-B Beregning'!F135=0,'ZERO-B Beregning'!D135,'ZERO-B Beregning'!F135))*_xlfn.XLOOKUP(51, År_etter_ferdigstillelse, f_tid_x_f_tek_d_0_01))</f>
        <v>0</v>
      </c>
      <c r="AD32" s="577">
        <f>IF(('Inndata Bygg'!G35+'Inndata Bygg'!O35+'Inndata Bygg'!S35) = 0, 0,1.833*('Inndata Bygg'!G35*('Inndata Bygg'!L35*0.5+'Inndata Bygg'!M35*0.8)+'Inndata Bygg'!O35*'Inndata Bygg'!Q35+'Inndata Bygg'!S35*'Inndata Bygg'!U35)*AG32*_xlfn.XLOOKUP(51, År_etter_ferdigstillelse,  f_tid_x_f_tek_d_0_01))</f>
        <v>0</v>
      </c>
      <c r="AE32" s="575" cm="1">
        <f t="array" ref="AE32">CalculateEmissionsReductionFromReuse('ZERO-B Beregning'!$D$17,'Inndata Bygg'!H35,'Inndata Bygg'!G35,'Inndata Bygg'!Z35,'Inndata Bygg'!X35,'Inndata Bygg'!Y35,F32,'Inndata Bygg'!B35)</f>
        <v>0</v>
      </c>
      <c r="AF32" s="333" cm="1">
        <f t="array" ref="AF32">CalculateEmissionReductionFromRecycling('ZERO-B Beregning'!$D$17,'Inndata Bygg'!H35,'Inndata Bygg'!G35,'Inndata Bygg'!AA35,'Inndata Bygg'!X35,'Inndata Bygg'!Y35,F32,'Inndata Bygg'!B35)</f>
        <v>0</v>
      </c>
      <c r="AG32" s="572">
        <f>IF(('Inndata Bygg'!G35+'Inndata Bygg'!O35+'Inndata Bygg'!S35) = 0, 0,'Inndata Bygg'!X35*Faktorer!$Z$58)</f>
        <v>0</v>
      </c>
      <c r="AH32" s="573">
        <f>IF(('Inndata Bygg'!G35+'Inndata Bygg'!O35+'Inndata Bygg'!S35) = 0, 0,'Inndata Bygg'!Z35+('Inndata Bygg'!X35+'Inndata Bygg'!Y35)*(1-Faktorer!$Z$58)*0.5)</f>
        <v>0</v>
      </c>
      <c r="AI32" s="574">
        <f>IF(('Inndata Bygg'!G35+'Inndata Bygg'!O35+'Inndata Bygg'!S35) = 0, 0,'Inndata Bygg'!AA35+('Inndata Bygg'!X35+'Inndata Bygg'!Y35)*(1-Faktorer!$Z$58)*0.5)</f>
        <v>0</v>
      </c>
      <c r="AJ32" s="634"/>
      <c r="AK32" s="90">
        <f t="shared" si="2"/>
        <v>0</v>
      </c>
      <c r="AL32" s="91">
        <f>'Resultater detaljert Bygg'!N32</f>
        <v>0</v>
      </c>
      <c r="AM32" s="91" t="str">
        <f>IF(F32=0,"",('Inndata Bygg'!E35+'Inndata Bygg'!F35)*ROUNDDOWN('Inndata Bygg'!I35,0)*(1+'Inndata Bygg'!K35))</f>
        <v/>
      </c>
    </row>
    <row r="33" spans="2:39">
      <c r="B33" s="339">
        <f>'Inndata Bygg'!B36</f>
        <v>0</v>
      </c>
      <c r="C33" s="340">
        <f>'Inndata Bygg'!C36</f>
        <v>0</v>
      </c>
      <c r="D33" s="341">
        <f>'Inndata Bygg'!D36</f>
        <v>0</v>
      </c>
      <c r="E33" s="421" cm="1">
        <f t="array" ref="E33">SUM(IFERROR(F33:AD33,0))</f>
        <v>0</v>
      </c>
      <c r="F33" s="330">
        <f>'Inndata Bygg'!E36</f>
        <v>0</v>
      </c>
      <c r="G33" s="330">
        <f>IF('Inndata Bygg'!AB36="Ja", -0.8*'Resultater detaljert Bygg'!F33, 0)</f>
        <v>0</v>
      </c>
      <c r="H33" s="330">
        <f>IF('Inndata Bygg'!AC36="Ja", -0.4*'Resultater detaljert Bygg'!$F33, 0)</f>
        <v>0</v>
      </c>
      <c r="I33" s="330">
        <f>IF('Inndata Bygg'!AD36="Ja", -1*'Resultater detaljert Bygg'!$F33, 0)</f>
        <v>0</v>
      </c>
      <c r="J33" s="330">
        <f>'Inndata Bygg'!O36*'Inndata Bygg'!P36</f>
        <v>0</v>
      </c>
      <c r="K33" s="330">
        <f>MAX(-0.75*(SUM('Resultater detaljert Bygg'!F33:J33)),-'Inndata Bygg'!O36*'Inndata Bygg'!Q36)</f>
        <v>0</v>
      </c>
      <c r="L33" s="330">
        <f>'Inndata Bygg'!S36*'Inndata Bygg'!T36</f>
        <v>0</v>
      </c>
      <c r="M33" s="330">
        <f>MAX(-0.75*(SUM('Resultater detaljert Bygg'!F33:I33,L33)),-'Inndata Bygg'!S36*'Inndata Bygg'!U36)</f>
        <v>0</v>
      </c>
      <c r="N33" s="331">
        <f>'Inndata Bygg'!F36</f>
        <v>0</v>
      </c>
      <c r="O33" s="330">
        <f>'Inndata Bygg'!O36*'Inndata Bygg'!R36</f>
        <v>0</v>
      </c>
      <c r="P33" s="332">
        <f>'Inndata Bygg'!S36*'Inndata Bygg'!V36</f>
        <v>0</v>
      </c>
      <c r="Q33" s="493">
        <f>SUM(F33:J33,L33)*'Inndata Bygg'!K36</f>
        <v>0</v>
      </c>
      <c r="R33" s="333">
        <f>(K33+M33)*'Inndata Bygg'!K36</f>
        <v>0</v>
      </c>
      <c r="S33" s="493">
        <f>N33*'Inndata Bygg'!K36</f>
        <v>0</v>
      </c>
      <c r="T33" s="494">
        <f>'Inndata Bygg'!G36*'Inndata Bygg'!K36*Transport_utslipp_til_avfallshånderting_per_kg</f>
        <v>0</v>
      </c>
      <c r="U33" s="330">
        <f>IF('Inndata Bygg'!E36 = 0, 0, 1.833*'Inndata Bygg'!X36*'Inndata Bygg'!K36*('Inndata Bygg'!G36*('Inndata Bygg'!L36*0.5+'Inndata Bygg'!M36*0.8) + (12/44)*('Inndata Bygg'!O36*'Inndata Bygg'!Q36+'Inndata Bygg'!S36*'Inndata Bygg'!U36)))</f>
        <v>0</v>
      </c>
      <c r="V33" s="335" cm="1">
        <f t="array" ref="V33">CalculateBiogenicCarbonUptake('ZERO-B Beregning'!$D$17,'Inndata Bygg'!H36,'Inndata Bygg'!G36,'Inndata Bygg'!L36,F33,AB33,AC33,AD33)</f>
        <v>0</v>
      </c>
      <c r="W33" s="576" cm="1">
        <f t="array" ref="W33">CalculateCementCarbonUptake('ZERO-B Beregning'!$D$17,'Inndata Bygg'!H36,'Inndata Bygg'!G36,'Inndata Bygg'!N36)</f>
        <v>0</v>
      </c>
      <c r="X33" s="331" cm="1">
        <f t="array" ref="X33">IF(SUM(F33:J33,L33)=0, 0, SUM(F33:J33,L33)*(1+'Inndata Bygg'!K36)*IF('Inndata Bygg'!H36&gt;50, 0, _xlfn.XLOOKUP('Inndata Bygg'!H36, År_etter_ferdigstillelse, IF(VALUE(LEFT('Inndata Bygg'!B36, 2))= 49, f_tid_x_f_tek_d_0_037_kumulativ, f_tid_x_f_tek_d_0_01_kumulativ))))</f>
        <v>0</v>
      </c>
      <c r="Y33" s="330">
        <f>IF(X33=0, 0, SUM(K33,M33)*(1+'Inndata Bygg'!K36)*IF('Inndata Bygg'!H36&gt;50, 0, _xlfn.XLOOKUP('Inndata Bygg'!H36, År_etter_ferdigstillelse, f_tid_x_f_tek_d_0_01_kumulativ)))</f>
        <v>0</v>
      </c>
      <c r="Z33" s="336">
        <f>IF(X33=0, 0, SUM(N33:P33)*(1+'Inndata Bygg'!K36)*IF('Inndata Bygg'!H36&gt;50, 0, _xlfn.XLOOKUP('Inndata Bygg'!H36, År_etter_ferdigstillelse, f_tid_x_f_tek_d_0_01_kumulativ)))</f>
        <v>0</v>
      </c>
      <c r="AA33" s="336">
        <f>IF(X33=0, 0, ('Inndata Bygg'!G36+'Inndata Bygg'!O36+'Inndata Bygg'!S36)*(1+'Inndata Bygg'!K36)*Transport_utslipp_til_avfallshånderting_per_kg*IF('Inndata Bygg'!H36&gt;50, 0, _xlfn.XLOOKUP('Inndata Bygg'!H36, År_etter_ferdigstillelse, f_tid_x_f_tek_d_0_01_kumulativ)))</f>
        <v>0</v>
      </c>
      <c r="AB33" s="580" cm="1">
        <f t="array" ref="AB33">CalculateEmissionsFromIncinerationOfWaste('ZERO-B Beregning'!$D$17,'Inndata Bygg'!H36,'Inndata Bygg'!G36,'Inndata Bygg'!X36,'Inndata Bygg'!L36,'Inndata Bygg'!M36,'Inndata Bygg'!B36)</f>
        <v>0</v>
      </c>
      <c r="AC33" s="335">
        <f>IF(('Inndata Bygg'!G36+'Inndata Bygg'!O36+'Inndata Bygg'!S36) = 0, 0,('Inndata Bygg'!G36+'Inndata Bygg'!O36+'Inndata Bygg'!S36)*(('Inndata Bygg'!X36+'Inndata Bygg'!Y36+'Inndata Bygg'!AA36)*Transport_utslipp_til_avfallshånderting_per_kg+('Inndata Bygg'!Z36*'ZERO-B Beregning'!D135/1000)*IF('ZERO-B Beregning'!F136=0,'ZERO-B Beregning'!D136,'ZERO-B Beregning'!F136))*_xlfn.XLOOKUP(51, År_etter_ferdigstillelse, f_tid_x_f_tek_d_0_01))</f>
        <v>0</v>
      </c>
      <c r="AD33" s="577">
        <f>IF(('Inndata Bygg'!G36+'Inndata Bygg'!O36+'Inndata Bygg'!S36) = 0, 0,1.833*('Inndata Bygg'!G36*('Inndata Bygg'!L36*0.5+'Inndata Bygg'!M36*0.8)+'Inndata Bygg'!O36*'Inndata Bygg'!Q36+'Inndata Bygg'!S36*'Inndata Bygg'!U36)*AG33*_xlfn.XLOOKUP(51, År_etter_ferdigstillelse,  f_tid_x_f_tek_d_0_01))</f>
        <v>0</v>
      </c>
      <c r="AE33" s="575" cm="1">
        <f t="array" ref="AE33">CalculateEmissionsReductionFromReuse('ZERO-B Beregning'!$D$17,'Inndata Bygg'!H36,'Inndata Bygg'!G36,'Inndata Bygg'!Z36,'Inndata Bygg'!X36,'Inndata Bygg'!Y36,F33,'Inndata Bygg'!B36)</f>
        <v>0</v>
      </c>
      <c r="AF33" s="333" cm="1">
        <f t="array" ref="AF33">CalculateEmissionReductionFromRecycling('ZERO-B Beregning'!$D$17,'Inndata Bygg'!H36,'Inndata Bygg'!G36,'Inndata Bygg'!AA36,'Inndata Bygg'!X36,'Inndata Bygg'!Y36,F33,'Inndata Bygg'!B36)</f>
        <v>0</v>
      </c>
      <c r="AG33" s="572">
        <f>IF(('Inndata Bygg'!G36+'Inndata Bygg'!O36+'Inndata Bygg'!S36) = 0, 0,'Inndata Bygg'!X36*Faktorer!$Z$58)</f>
        <v>0</v>
      </c>
      <c r="AH33" s="573">
        <f>IF(('Inndata Bygg'!G36+'Inndata Bygg'!O36+'Inndata Bygg'!S36) = 0, 0,'Inndata Bygg'!Z36+('Inndata Bygg'!X36+'Inndata Bygg'!Y36)*(1-Faktorer!$Z$58)*0.5)</f>
        <v>0</v>
      </c>
      <c r="AI33" s="574">
        <f>IF(('Inndata Bygg'!G36+'Inndata Bygg'!O36+'Inndata Bygg'!S36) = 0, 0,'Inndata Bygg'!AA36+('Inndata Bygg'!X36+'Inndata Bygg'!Y36)*(1-Faktorer!$Z$58)*0.5)</f>
        <v>0</v>
      </c>
      <c r="AJ33" s="634"/>
      <c r="AK33" s="90">
        <f t="shared" si="2"/>
        <v>0</v>
      </c>
      <c r="AL33" s="91">
        <f>'Resultater detaljert Bygg'!N33</f>
        <v>0</v>
      </c>
      <c r="AM33" s="91" t="str">
        <f>IF(F33=0,"",('Inndata Bygg'!E36+'Inndata Bygg'!F36)*ROUNDDOWN('Inndata Bygg'!I36,0)*(1+'Inndata Bygg'!K36))</f>
        <v/>
      </c>
    </row>
    <row r="34" spans="2:39">
      <c r="B34" s="339">
        <f>'Inndata Bygg'!B37</f>
        <v>0</v>
      </c>
      <c r="C34" s="340">
        <f>'Inndata Bygg'!C37</f>
        <v>0</v>
      </c>
      <c r="D34" s="341">
        <f>'Inndata Bygg'!D37</f>
        <v>0</v>
      </c>
      <c r="E34" s="421" cm="1">
        <f t="array" ref="E34">SUM(IFERROR(F34:AD34,0))</f>
        <v>0</v>
      </c>
      <c r="F34" s="330">
        <f>'Inndata Bygg'!E37</f>
        <v>0</v>
      </c>
      <c r="G34" s="330">
        <f>IF('Inndata Bygg'!AB37="Ja", -0.8*'Resultater detaljert Bygg'!F34, 0)</f>
        <v>0</v>
      </c>
      <c r="H34" s="330">
        <f>IF('Inndata Bygg'!AC37="Ja", -0.4*'Resultater detaljert Bygg'!$F34, 0)</f>
        <v>0</v>
      </c>
      <c r="I34" s="330">
        <f>IF('Inndata Bygg'!AD37="Ja", -1*'Resultater detaljert Bygg'!$F34, 0)</f>
        <v>0</v>
      </c>
      <c r="J34" s="330">
        <f>'Inndata Bygg'!O37*'Inndata Bygg'!P37</f>
        <v>0</v>
      </c>
      <c r="K34" s="330">
        <f>MAX(-0.75*(SUM('Resultater detaljert Bygg'!F34:J34)),-'Inndata Bygg'!O37*'Inndata Bygg'!Q37)</f>
        <v>0</v>
      </c>
      <c r="L34" s="330">
        <f>'Inndata Bygg'!S37*'Inndata Bygg'!T37</f>
        <v>0</v>
      </c>
      <c r="M34" s="330">
        <f>MAX(-0.75*(SUM('Resultater detaljert Bygg'!F34:I34,L34)),-'Inndata Bygg'!S37*'Inndata Bygg'!U37)</f>
        <v>0</v>
      </c>
      <c r="N34" s="331">
        <f>'Inndata Bygg'!F37</f>
        <v>0</v>
      </c>
      <c r="O34" s="330">
        <f>'Inndata Bygg'!O37*'Inndata Bygg'!R37</f>
        <v>0</v>
      </c>
      <c r="P34" s="332">
        <f>'Inndata Bygg'!S37*'Inndata Bygg'!V37</f>
        <v>0</v>
      </c>
      <c r="Q34" s="493">
        <f>SUM(F34:J34,L34)*'Inndata Bygg'!K37</f>
        <v>0</v>
      </c>
      <c r="R34" s="333">
        <f>(K34+M34)*'Inndata Bygg'!K37</f>
        <v>0</v>
      </c>
      <c r="S34" s="493">
        <f>N34*'Inndata Bygg'!K37</f>
        <v>0</v>
      </c>
      <c r="T34" s="494">
        <f>'Inndata Bygg'!G37*'Inndata Bygg'!K37*Transport_utslipp_til_avfallshånderting_per_kg</f>
        <v>0</v>
      </c>
      <c r="U34" s="330">
        <f>IF('Inndata Bygg'!E37 = 0, 0, 1.833*'Inndata Bygg'!X37*'Inndata Bygg'!K37*('Inndata Bygg'!G37*('Inndata Bygg'!L37*0.5+'Inndata Bygg'!M37*0.8) + (12/44)*('Inndata Bygg'!O37*'Inndata Bygg'!Q37+'Inndata Bygg'!S37*'Inndata Bygg'!U37)))</f>
        <v>0</v>
      </c>
      <c r="V34" s="335" cm="1">
        <f t="array" ref="V34">CalculateBiogenicCarbonUptake('ZERO-B Beregning'!$D$17,'Inndata Bygg'!H37,'Inndata Bygg'!G37,'Inndata Bygg'!L37,F34,AB34,AC34,AD34)</f>
        <v>0</v>
      </c>
      <c r="W34" s="576" cm="1">
        <f t="array" ref="W34">CalculateCementCarbonUptake('ZERO-B Beregning'!$D$17,'Inndata Bygg'!H37,'Inndata Bygg'!G37,'Inndata Bygg'!N37)</f>
        <v>0</v>
      </c>
      <c r="X34" s="331" cm="1">
        <f t="array" ref="X34">IF(SUM(F34:J34,L34)=0, 0, SUM(F34:J34,L34)*(1+'Inndata Bygg'!K37)*IF('Inndata Bygg'!H37&gt;50, 0, _xlfn.XLOOKUP('Inndata Bygg'!H37, År_etter_ferdigstillelse, IF(VALUE(LEFT('Inndata Bygg'!B37, 2))= 49, f_tid_x_f_tek_d_0_037_kumulativ, f_tid_x_f_tek_d_0_01_kumulativ))))</f>
        <v>0</v>
      </c>
      <c r="Y34" s="330">
        <f>IF(X34=0, 0, SUM(K34,M34)*(1+'Inndata Bygg'!K37)*IF('Inndata Bygg'!H37&gt;50, 0, _xlfn.XLOOKUP('Inndata Bygg'!H37, År_etter_ferdigstillelse, f_tid_x_f_tek_d_0_01_kumulativ)))</f>
        <v>0</v>
      </c>
      <c r="Z34" s="336">
        <f>IF(X34=0, 0, SUM(N34:P34)*(1+'Inndata Bygg'!K37)*IF('Inndata Bygg'!H37&gt;50, 0, _xlfn.XLOOKUP('Inndata Bygg'!H37, År_etter_ferdigstillelse, f_tid_x_f_tek_d_0_01_kumulativ)))</f>
        <v>0</v>
      </c>
      <c r="AA34" s="336">
        <f>IF(X34=0, 0, ('Inndata Bygg'!G37+'Inndata Bygg'!O37+'Inndata Bygg'!S37)*(1+'Inndata Bygg'!K37)*Transport_utslipp_til_avfallshånderting_per_kg*IF('Inndata Bygg'!H37&gt;50, 0, _xlfn.XLOOKUP('Inndata Bygg'!H37, År_etter_ferdigstillelse, f_tid_x_f_tek_d_0_01_kumulativ)))</f>
        <v>0</v>
      </c>
      <c r="AB34" s="580" cm="1">
        <f t="array" ref="AB34">CalculateEmissionsFromIncinerationOfWaste('ZERO-B Beregning'!$D$17,'Inndata Bygg'!H37,'Inndata Bygg'!G37,'Inndata Bygg'!X37,'Inndata Bygg'!L37,'Inndata Bygg'!M37,'Inndata Bygg'!B37)</f>
        <v>0</v>
      </c>
      <c r="AC34" s="335">
        <f>IF(('Inndata Bygg'!G37+'Inndata Bygg'!O37+'Inndata Bygg'!S37) = 0, 0,('Inndata Bygg'!G37+'Inndata Bygg'!O37+'Inndata Bygg'!S37)*(('Inndata Bygg'!X37+'Inndata Bygg'!Y37+'Inndata Bygg'!AA37)*Transport_utslipp_til_avfallshånderting_per_kg+('Inndata Bygg'!Z37*'ZERO-B Beregning'!D136/1000)*IF('ZERO-B Beregning'!F137=0,'ZERO-B Beregning'!D137,'ZERO-B Beregning'!F137))*_xlfn.XLOOKUP(51, År_etter_ferdigstillelse, f_tid_x_f_tek_d_0_01))</f>
        <v>0</v>
      </c>
      <c r="AD34" s="577">
        <f>IF(('Inndata Bygg'!G37+'Inndata Bygg'!O37+'Inndata Bygg'!S37) = 0, 0,1.833*('Inndata Bygg'!G37*('Inndata Bygg'!L37*0.5+'Inndata Bygg'!M37*0.8)+'Inndata Bygg'!O37*'Inndata Bygg'!Q37+'Inndata Bygg'!S37*'Inndata Bygg'!U37)*AG34*_xlfn.XLOOKUP(51, År_etter_ferdigstillelse,  f_tid_x_f_tek_d_0_01))</f>
        <v>0</v>
      </c>
      <c r="AE34" s="575" cm="1">
        <f t="array" ref="AE34">CalculateEmissionsReductionFromReuse('ZERO-B Beregning'!$D$17,'Inndata Bygg'!H37,'Inndata Bygg'!G37,'Inndata Bygg'!Z37,'Inndata Bygg'!X37,'Inndata Bygg'!Y37,F34,'Inndata Bygg'!B37)</f>
        <v>0</v>
      </c>
      <c r="AF34" s="333" cm="1">
        <f t="array" ref="AF34">CalculateEmissionReductionFromRecycling('ZERO-B Beregning'!$D$17,'Inndata Bygg'!H37,'Inndata Bygg'!G37,'Inndata Bygg'!AA37,'Inndata Bygg'!X37,'Inndata Bygg'!Y37,F34,'Inndata Bygg'!B37)</f>
        <v>0</v>
      </c>
      <c r="AG34" s="572">
        <f>IF(('Inndata Bygg'!G37+'Inndata Bygg'!O37+'Inndata Bygg'!S37) = 0, 0,'Inndata Bygg'!X37*Faktorer!$Z$58)</f>
        <v>0</v>
      </c>
      <c r="AH34" s="573">
        <f>IF(('Inndata Bygg'!G37+'Inndata Bygg'!O37+'Inndata Bygg'!S37) = 0, 0,'Inndata Bygg'!Z37+('Inndata Bygg'!X37+'Inndata Bygg'!Y37)*(1-Faktorer!$Z$58)*0.5)</f>
        <v>0</v>
      </c>
      <c r="AI34" s="574">
        <f>IF(('Inndata Bygg'!G37+'Inndata Bygg'!O37+'Inndata Bygg'!S37) = 0, 0,'Inndata Bygg'!AA37+('Inndata Bygg'!X37+'Inndata Bygg'!Y37)*(1-Faktorer!$Z$58)*0.5)</f>
        <v>0</v>
      </c>
      <c r="AJ34" s="634"/>
      <c r="AK34" s="90">
        <f t="shared" si="2"/>
        <v>0</v>
      </c>
      <c r="AL34" s="91">
        <f>'Resultater detaljert Bygg'!N34</f>
        <v>0</v>
      </c>
      <c r="AM34" s="91" t="str">
        <f>IF(F34=0,"",('Inndata Bygg'!E37+'Inndata Bygg'!F37)*ROUNDDOWN('Inndata Bygg'!I37,0)*(1+'Inndata Bygg'!K37))</f>
        <v/>
      </c>
    </row>
    <row r="35" spans="2:39">
      <c r="B35" s="339">
        <f>'Inndata Bygg'!B38</f>
        <v>0</v>
      </c>
      <c r="C35" s="340">
        <f>'Inndata Bygg'!C38</f>
        <v>0</v>
      </c>
      <c r="D35" s="341">
        <f>'Inndata Bygg'!D38</f>
        <v>0</v>
      </c>
      <c r="E35" s="421" cm="1">
        <f t="array" ref="E35">SUM(IFERROR(F35:AD35,0))</f>
        <v>0</v>
      </c>
      <c r="F35" s="330">
        <f>'Inndata Bygg'!E38</f>
        <v>0</v>
      </c>
      <c r="G35" s="330">
        <f>IF('Inndata Bygg'!AB38="Ja", -0.8*'Resultater detaljert Bygg'!F35, 0)</f>
        <v>0</v>
      </c>
      <c r="H35" s="330">
        <f>IF('Inndata Bygg'!AC38="Ja", -0.4*'Resultater detaljert Bygg'!$F35, 0)</f>
        <v>0</v>
      </c>
      <c r="I35" s="330">
        <f>IF('Inndata Bygg'!AD38="Ja", -1*'Resultater detaljert Bygg'!$F35, 0)</f>
        <v>0</v>
      </c>
      <c r="J35" s="330">
        <f>'Inndata Bygg'!O38*'Inndata Bygg'!P38</f>
        <v>0</v>
      </c>
      <c r="K35" s="330">
        <f>MAX(-0.75*(SUM('Resultater detaljert Bygg'!F35:J35)),-'Inndata Bygg'!O38*'Inndata Bygg'!Q38)</f>
        <v>0</v>
      </c>
      <c r="L35" s="330">
        <f>'Inndata Bygg'!S38*'Inndata Bygg'!T38</f>
        <v>0</v>
      </c>
      <c r="M35" s="330">
        <f>MAX(-0.75*(SUM('Resultater detaljert Bygg'!F35:I35,L35)),-'Inndata Bygg'!S38*'Inndata Bygg'!U38)</f>
        <v>0</v>
      </c>
      <c r="N35" s="331">
        <f>'Inndata Bygg'!F38</f>
        <v>0</v>
      </c>
      <c r="O35" s="330">
        <f>'Inndata Bygg'!O38*'Inndata Bygg'!R38</f>
        <v>0</v>
      </c>
      <c r="P35" s="332">
        <f>'Inndata Bygg'!S38*'Inndata Bygg'!V38</f>
        <v>0</v>
      </c>
      <c r="Q35" s="493">
        <f>SUM(F35:J35,L35)*'Inndata Bygg'!K38</f>
        <v>0</v>
      </c>
      <c r="R35" s="333">
        <f>(K35+M35)*'Inndata Bygg'!K38</f>
        <v>0</v>
      </c>
      <c r="S35" s="493">
        <f>N35*'Inndata Bygg'!K38</f>
        <v>0</v>
      </c>
      <c r="T35" s="494">
        <f>'Inndata Bygg'!G38*'Inndata Bygg'!K38*Transport_utslipp_til_avfallshånderting_per_kg</f>
        <v>0</v>
      </c>
      <c r="U35" s="330">
        <f>IF('Inndata Bygg'!E38 = 0, 0, 1.833*'Inndata Bygg'!X38*'Inndata Bygg'!K38*('Inndata Bygg'!G38*('Inndata Bygg'!L38*0.5+'Inndata Bygg'!M38*0.8) + (12/44)*('Inndata Bygg'!O38*'Inndata Bygg'!Q38+'Inndata Bygg'!S38*'Inndata Bygg'!U38)))</f>
        <v>0</v>
      </c>
      <c r="V35" s="335" cm="1">
        <f t="array" ref="V35">CalculateBiogenicCarbonUptake('ZERO-B Beregning'!$D$17,'Inndata Bygg'!H38,'Inndata Bygg'!G38,'Inndata Bygg'!L38,F35,AB35,AC35,AD35)</f>
        <v>0</v>
      </c>
      <c r="W35" s="576" cm="1">
        <f t="array" ref="W35">CalculateCementCarbonUptake('ZERO-B Beregning'!$D$17,'Inndata Bygg'!H38,'Inndata Bygg'!G38,'Inndata Bygg'!N38)</f>
        <v>0</v>
      </c>
      <c r="X35" s="331" cm="1">
        <f t="array" ref="X35">IF(SUM(F35:J35,L35)=0, 0, SUM(F35:J35,L35)*(1+'Inndata Bygg'!K38)*IF('Inndata Bygg'!H38&gt;50, 0, _xlfn.XLOOKUP('Inndata Bygg'!H38, År_etter_ferdigstillelse, IF(VALUE(LEFT('Inndata Bygg'!B38, 2))= 49, f_tid_x_f_tek_d_0_037_kumulativ, f_tid_x_f_tek_d_0_01_kumulativ))))</f>
        <v>0</v>
      </c>
      <c r="Y35" s="330">
        <f>IF(X35=0, 0, SUM(K35,M35)*(1+'Inndata Bygg'!K38)*IF('Inndata Bygg'!H38&gt;50, 0, _xlfn.XLOOKUP('Inndata Bygg'!H38, År_etter_ferdigstillelse, f_tid_x_f_tek_d_0_01_kumulativ)))</f>
        <v>0</v>
      </c>
      <c r="Z35" s="336">
        <f>IF(X35=0, 0, SUM(N35:P35)*(1+'Inndata Bygg'!K38)*IF('Inndata Bygg'!H38&gt;50, 0, _xlfn.XLOOKUP('Inndata Bygg'!H38, År_etter_ferdigstillelse, f_tid_x_f_tek_d_0_01_kumulativ)))</f>
        <v>0</v>
      </c>
      <c r="AA35" s="336">
        <f>IF(X35=0, 0, ('Inndata Bygg'!G38+'Inndata Bygg'!O38+'Inndata Bygg'!S38)*(1+'Inndata Bygg'!K38)*Transport_utslipp_til_avfallshånderting_per_kg*IF('Inndata Bygg'!H38&gt;50, 0, _xlfn.XLOOKUP('Inndata Bygg'!H38, År_etter_ferdigstillelse, f_tid_x_f_tek_d_0_01_kumulativ)))</f>
        <v>0</v>
      </c>
      <c r="AB35" s="580" cm="1">
        <f t="array" ref="AB35">CalculateEmissionsFromIncinerationOfWaste('ZERO-B Beregning'!$D$17,'Inndata Bygg'!H38,'Inndata Bygg'!G38,'Inndata Bygg'!X38,'Inndata Bygg'!L38,'Inndata Bygg'!M38,'Inndata Bygg'!B38)</f>
        <v>0</v>
      </c>
      <c r="AC35" s="335">
        <f>IF(('Inndata Bygg'!G38+'Inndata Bygg'!O38+'Inndata Bygg'!S38) = 0, 0,('Inndata Bygg'!G38+'Inndata Bygg'!O38+'Inndata Bygg'!S38)*(('Inndata Bygg'!X38+'Inndata Bygg'!Y38+'Inndata Bygg'!AA38)*Transport_utslipp_til_avfallshånderting_per_kg+('Inndata Bygg'!Z38*'ZERO-B Beregning'!D137/1000)*IF('ZERO-B Beregning'!F138=0,'ZERO-B Beregning'!D138,'ZERO-B Beregning'!F138))*_xlfn.XLOOKUP(51, År_etter_ferdigstillelse, f_tid_x_f_tek_d_0_01))</f>
        <v>0</v>
      </c>
      <c r="AD35" s="577">
        <f>IF(('Inndata Bygg'!G38+'Inndata Bygg'!O38+'Inndata Bygg'!S38) = 0, 0,1.833*('Inndata Bygg'!G38*('Inndata Bygg'!L38*0.5+'Inndata Bygg'!M38*0.8)+'Inndata Bygg'!O38*'Inndata Bygg'!Q38+'Inndata Bygg'!S38*'Inndata Bygg'!U38)*AG35*_xlfn.XLOOKUP(51, År_etter_ferdigstillelse,  f_tid_x_f_tek_d_0_01))</f>
        <v>0</v>
      </c>
      <c r="AE35" s="575" cm="1">
        <f t="array" ref="AE35">CalculateEmissionsReductionFromReuse('ZERO-B Beregning'!$D$17,'Inndata Bygg'!H38,'Inndata Bygg'!G38,'Inndata Bygg'!Z38,'Inndata Bygg'!X38,'Inndata Bygg'!Y38,F35,'Inndata Bygg'!B38)</f>
        <v>0</v>
      </c>
      <c r="AF35" s="333" cm="1">
        <f t="array" ref="AF35">CalculateEmissionReductionFromRecycling('ZERO-B Beregning'!$D$17,'Inndata Bygg'!H38,'Inndata Bygg'!G38,'Inndata Bygg'!AA38,'Inndata Bygg'!X38,'Inndata Bygg'!Y38,F35,'Inndata Bygg'!B38)</f>
        <v>0</v>
      </c>
      <c r="AG35" s="572">
        <f>IF(('Inndata Bygg'!G38+'Inndata Bygg'!O38+'Inndata Bygg'!S38) = 0, 0,'Inndata Bygg'!X38*Faktorer!$Z$58)</f>
        <v>0</v>
      </c>
      <c r="AH35" s="573">
        <f>IF(('Inndata Bygg'!G38+'Inndata Bygg'!O38+'Inndata Bygg'!S38) = 0, 0,'Inndata Bygg'!Z38+('Inndata Bygg'!X38+'Inndata Bygg'!Y38)*(1-Faktorer!$Z$58)*0.5)</f>
        <v>0</v>
      </c>
      <c r="AI35" s="574">
        <f>IF(('Inndata Bygg'!G38+'Inndata Bygg'!O38+'Inndata Bygg'!S38) = 0, 0,'Inndata Bygg'!AA38+('Inndata Bygg'!X38+'Inndata Bygg'!Y38)*(1-Faktorer!$Z$58)*0.5)</f>
        <v>0</v>
      </c>
      <c r="AJ35" s="634"/>
      <c r="AK35" s="90">
        <f t="shared" si="2"/>
        <v>0</v>
      </c>
      <c r="AL35" s="91">
        <f>'Resultater detaljert Bygg'!N35</f>
        <v>0</v>
      </c>
      <c r="AM35" s="91" t="str">
        <f>IF(F35=0,"",('Inndata Bygg'!E38+'Inndata Bygg'!F38)*ROUNDDOWN('Inndata Bygg'!I38,0)*(1+'Inndata Bygg'!K38))</f>
        <v/>
      </c>
    </row>
    <row r="36" spans="2:39">
      <c r="B36" s="339">
        <f>'Inndata Bygg'!B39</f>
        <v>0</v>
      </c>
      <c r="C36" s="340">
        <f>'Inndata Bygg'!C39</f>
        <v>0</v>
      </c>
      <c r="D36" s="341">
        <f>'Inndata Bygg'!D39</f>
        <v>0</v>
      </c>
      <c r="E36" s="421" cm="1">
        <f t="array" ref="E36">SUM(IFERROR(F36:AD36,0))</f>
        <v>0</v>
      </c>
      <c r="F36" s="330">
        <f>'Inndata Bygg'!E39</f>
        <v>0</v>
      </c>
      <c r="G36" s="330">
        <f>IF('Inndata Bygg'!AB39="Ja", -0.8*'Resultater detaljert Bygg'!F36, 0)</f>
        <v>0</v>
      </c>
      <c r="H36" s="330">
        <f>IF('Inndata Bygg'!AC39="Ja", -0.4*'Resultater detaljert Bygg'!$F36, 0)</f>
        <v>0</v>
      </c>
      <c r="I36" s="330">
        <f>IF('Inndata Bygg'!AD39="Ja", -1*'Resultater detaljert Bygg'!$F36, 0)</f>
        <v>0</v>
      </c>
      <c r="J36" s="330">
        <f>'Inndata Bygg'!O39*'Inndata Bygg'!P39</f>
        <v>0</v>
      </c>
      <c r="K36" s="330">
        <f>MAX(-0.75*(SUM('Resultater detaljert Bygg'!F36:J36)),-'Inndata Bygg'!O39*'Inndata Bygg'!Q39)</f>
        <v>0</v>
      </c>
      <c r="L36" s="330">
        <f>'Inndata Bygg'!S39*'Inndata Bygg'!T39</f>
        <v>0</v>
      </c>
      <c r="M36" s="330">
        <f>MAX(-0.75*(SUM('Resultater detaljert Bygg'!F36:I36,L36)),-'Inndata Bygg'!S39*'Inndata Bygg'!U39)</f>
        <v>0</v>
      </c>
      <c r="N36" s="331">
        <f>'Inndata Bygg'!F39</f>
        <v>0</v>
      </c>
      <c r="O36" s="330">
        <f>'Inndata Bygg'!O39*'Inndata Bygg'!R39</f>
        <v>0</v>
      </c>
      <c r="P36" s="332">
        <f>'Inndata Bygg'!S39*'Inndata Bygg'!V39</f>
        <v>0</v>
      </c>
      <c r="Q36" s="493">
        <f>SUM(F36:J36,L36)*'Inndata Bygg'!K39</f>
        <v>0</v>
      </c>
      <c r="R36" s="333">
        <f>(K36+M36)*'Inndata Bygg'!K39</f>
        <v>0</v>
      </c>
      <c r="S36" s="493">
        <f>N36*'Inndata Bygg'!K39</f>
        <v>0</v>
      </c>
      <c r="T36" s="494">
        <f>'Inndata Bygg'!G39*'Inndata Bygg'!K39*Transport_utslipp_til_avfallshånderting_per_kg</f>
        <v>0</v>
      </c>
      <c r="U36" s="330">
        <f>IF('Inndata Bygg'!E39 = 0, 0, 1.833*'Inndata Bygg'!X39*'Inndata Bygg'!K39*('Inndata Bygg'!G39*('Inndata Bygg'!L39*0.5+'Inndata Bygg'!M39*0.8) + (12/44)*('Inndata Bygg'!O39*'Inndata Bygg'!Q39+'Inndata Bygg'!S39*'Inndata Bygg'!U39)))</f>
        <v>0</v>
      </c>
      <c r="V36" s="335" cm="1">
        <f t="array" ref="V36">CalculateBiogenicCarbonUptake('ZERO-B Beregning'!$D$17,'Inndata Bygg'!H39,'Inndata Bygg'!G39,'Inndata Bygg'!L39,F36,AB36,AC36,AD36)</f>
        <v>0</v>
      </c>
      <c r="W36" s="576" cm="1">
        <f t="array" ref="W36">CalculateCementCarbonUptake('ZERO-B Beregning'!$D$17,'Inndata Bygg'!H39,'Inndata Bygg'!G39,'Inndata Bygg'!N39)</f>
        <v>0</v>
      </c>
      <c r="X36" s="331" cm="1">
        <f t="array" ref="X36">IF(SUM(F36:J36,L36)=0, 0, SUM(F36:J36,L36)*(1+'Inndata Bygg'!K39)*IF('Inndata Bygg'!H39&gt;50, 0, _xlfn.XLOOKUP('Inndata Bygg'!H39, År_etter_ferdigstillelse, IF(VALUE(LEFT('Inndata Bygg'!B39, 2))= 49, f_tid_x_f_tek_d_0_037_kumulativ, f_tid_x_f_tek_d_0_01_kumulativ))))</f>
        <v>0</v>
      </c>
      <c r="Y36" s="330">
        <f>IF(X36=0, 0, SUM(K36,M36)*(1+'Inndata Bygg'!K39)*IF('Inndata Bygg'!H39&gt;50, 0, _xlfn.XLOOKUP('Inndata Bygg'!H39, År_etter_ferdigstillelse, f_tid_x_f_tek_d_0_01_kumulativ)))</f>
        <v>0</v>
      </c>
      <c r="Z36" s="336">
        <f>IF(X36=0, 0, SUM(N36:P36)*(1+'Inndata Bygg'!K39)*IF('Inndata Bygg'!H39&gt;50, 0, _xlfn.XLOOKUP('Inndata Bygg'!H39, År_etter_ferdigstillelse, f_tid_x_f_tek_d_0_01_kumulativ)))</f>
        <v>0</v>
      </c>
      <c r="AA36" s="336">
        <f>IF(X36=0, 0, ('Inndata Bygg'!G39+'Inndata Bygg'!O39+'Inndata Bygg'!S39)*(1+'Inndata Bygg'!K39)*Transport_utslipp_til_avfallshånderting_per_kg*IF('Inndata Bygg'!H39&gt;50, 0, _xlfn.XLOOKUP('Inndata Bygg'!H39, År_etter_ferdigstillelse, f_tid_x_f_tek_d_0_01_kumulativ)))</f>
        <v>0</v>
      </c>
      <c r="AB36" s="580" cm="1">
        <f t="array" ref="AB36">CalculateEmissionsFromIncinerationOfWaste('ZERO-B Beregning'!$D$17,'Inndata Bygg'!H39,'Inndata Bygg'!G39,'Inndata Bygg'!X39,'Inndata Bygg'!L39,'Inndata Bygg'!M39,'Inndata Bygg'!B39)</f>
        <v>0</v>
      </c>
      <c r="AC36" s="335">
        <f>IF(('Inndata Bygg'!G39+'Inndata Bygg'!O39+'Inndata Bygg'!S39) = 0, 0,('Inndata Bygg'!G39+'Inndata Bygg'!O39+'Inndata Bygg'!S39)*(('Inndata Bygg'!X39+'Inndata Bygg'!Y39+'Inndata Bygg'!AA39)*Transport_utslipp_til_avfallshånderting_per_kg+('Inndata Bygg'!Z39*'ZERO-B Beregning'!D138/1000)*IF('ZERO-B Beregning'!F139=0,'ZERO-B Beregning'!D139,'ZERO-B Beregning'!F139))*_xlfn.XLOOKUP(51, År_etter_ferdigstillelse, f_tid_x_f_tek_d_0_01))</f>
        <v>0</v>
      </c>
      <c r="AD36" s="577">
        <f>IF(('Inndata Bygg'!G39+'Inndata Bygg'!O39+'Inndata Bygg'!S39) = 0, 0,1.833*('Inndata Bygg'!G39*('Inndata Bygg'!L39*0.5+'Inndata Bygg'!M39*0.8)+'Inndata Bygg'!O39*'Inndata Bygg'!Q39+'Inndata Bygg'!S39*'Inndata Bygg'!U39)*AG36*_xlfn.XLOOKUP(51, År_etter_ferdigstillelse,  f_tid_x_f_tek_d_0_01))</f>
        <v>0</v>
      </c>
      <c r="AE36" s="575" cm="1">
        <f t="array" ref="AE36">CalculateEmissionsReductionFromReuse('ZERO-B Beregning'!$D$17,'Inndata Bygg'!H39,'Inndata Bygg'!G39,'Inndata Bygg'!Z39,'Inndata Bygg'!X39,'Inndata Bygg'!Y39,F36,'Inndata Bygg'!B39)</f>
        <v>0</v>
      </c>
      <c r="AF36" s="333" cm="1">
        <f t="array" ref="AF36">CalculateEmissionReductionFromRecycling('ZERO-B Beregning'!$D$17,'Inndata Bygg'!H39,'Inndata Bygg'!G39,'Inndata Bygg'!AA39,'Inndata Bygg'!X39,'Inndata Bygg'!Y39,F36,'Inndata Bygg'!B39)</f>
        <v>0</v>
      </c>
      <c r="AG36" s="572">
        <f>IF(('Inndata Bygg'!G39+'Inndata Bygg'!O39+'Inndata Bygg'!S39) = 0, 0,'Inndata Bygg'!X39*Faktorer!$Z$58)</f>
        <v>0</v>
      </c>
      <c r="AH36" s="573">
        <f>IF(('Inndata Bygg'!G39+'Inndata Bygg'!O39+'Inndata Bygg'!S39) = 0, 0,'Inndata Bygg'!Z39+('Inndata Bygg'!X39+'Inndata Bygg'!Y39)*(1-Faktorer!$Z$58)*0.5)</f>
        <v>0</v>
      </c>
      <c r="AI36" s="574">
        <f>IF(('Inndata Bygg'!G39+'Inndata Bygg'!O39+'Inndata Bygg'!S39) = 0, 0,'Inndata Bygg'!AA39+('Inndata Bygg'!X39+'Inndata Bygg'!Y39)*(1-Faktorer!$Z$58)*0.5)</f>
        <v>0</v>
      </c>
      <c r="AJ36" s="634"/>
      <c r="AK36" s="90">
        <f t="shared" si="2"/>
        <v>0</v>
      </c>
      <c r="AL36" s="91">
        <f>'Resultater detaljert Bygg'!N36</f>
        <v>0</v>
      </c>
      <c r="AM36" s="91" t="str">
        <f>IF(F36=0,"",('Inndata Bygg'!E39+'Inndata Bygg'!F39)*ROUNDDOWN('Inndata Bygg'!I39,0)*(1+'Inndata Bygg'!K39))</f>
        <v/>
      </c>
    </row>
    <row r="37" spans="2:39">
      <c r="B37" s="339">
        <f>'Inndata Bygg'!B40</f>
        <v>0</v>
      </c>
      <c r="C37" s="340">
        <f>'Inndata Bygg'!C40</f>
        <v>0</v>
      </c>
      <c r="D37" s="341">
        <f>'Inndata Bygg'!D40</f>
        <v>0</v>
      </c>
      <c r="E37" s="421" cm="1">
        <f t="array" ref="E37">SUM(IFERROR(F37:AD37,0))</f>
        <v>0</v>
      </c>
      <c r="F37" s="330">
        <f>'Inndata Bygg'!E40</f>
        <v>0</v>
      </c>
      <c r="G37" s="330">
        <f>IF('Inndata Bygg'!AB40="Ja", -0.8*'Resultater detaljert Bygg'!F37, 0)</f>
        <v>0</v>
      </c>
      <c r="H37" s="330">
        <f>IF('Inndata Bygg'!AC40="Ja", -0.4*'Resultater detaljert Bygg'!$F37, 0)</f>
        <v>0</v>
      </c>
      <c r="I37" s="330">
        <f>IF('Inndata Bygg'!AD40="Ja", -1*'Resultater detaljert Bygg'!$F37, 0)</f>
        <v>0</v>
      </c>
      <c r="J37" s="330">
        <f>'Inndata Bygg'!O40*'Inndata Bygg'!P40</f>
        <v>0</v>
      </c>
      <c r="K37" s="330">
        <f>MAX(-0.75*(SUM('Resultater detaljert Bygg'!F37:J37)),-'Inndata Bygg'!O40*'Inndata Bygg'!Q40)</f>
        <v>0</v>
      </c>
      <c r="L37" s="330">
        <f>'Inndata Bygg'!S40*'Inndata Bygg'!T40</f>
        <v>0</v>
      </c>
      <c r="M37" s="330">
        <f>MAX(-0.75*(SUM('Resultater detaljert Bygg'!F37:I37,L37)),-'Inndata Bygg'!S40*'Inndata Bygg'!U40)</f>
        <v>0</v>
      </c>
      <c r="N37" s="331">
        <f>'Inndata Bygg'!F40</f>
        <v>0</v>
      </c>
      <c r="O37" s="330">
        <f>'Inndata Bygg'!O40*'Inndata Bygg'!R40</f>
        <v>0</v>
      </c>
      <c r="P37" s="332">
        <f>'Inndata Bygg'!S40*'Inndata Bygg'!V40</f>
        <v>0</v>
      </c>
      <c r="Q37" s="493">
        <f>SUM(F37:J37,L37)*'Inndata Bygg'!K40</f>
        <v>0</v>
      </c>
      <c r="R37" s="333">
        <f>(K37+M37)*'Inndata Bygg'!K40</f>
        <v>0</v>
      </c>
      <c r="S37" s="493">
        <f>N37*'Inndata Bygg'!K40</f>
        <v>0</v>
      </c>
      <c r="T37" s="494">
        <f>'Inndata Bygg'!G40*'Inndata Bygg'!K40*Transport_utslipp_til_avfallshånderting_per_kg</f>
        <v>0</v>
      </c>
      <c r="U37" s="330">
        <f>IF('Inndata Bygg'!E40 = 0, 0, 1.833*'Inndata Bygg'!X40*'Inndata Bygg'!K40*('Inndata Bygg'!G40*('Inndata Bygg'!L40*0.5+'Inndata Bygg'!M40*0.8) + (12/44)*('Inndata Bygg'!O40*'Inndata Bygg'!Q40+'Inndata Bygg'!S40*'Inndata Bygg'!U40)))</f>
        <v>0</v>
      </c>
      <c r="V37" s="335" cm="1">
        <f t="array" ref="V37">CalculateBiogenicCarbonUptake('ZERO-B Beregning'!$D$17,'Inndata Bygg'!H40,'Inndata Bygg'!G40,'Inndata Bygg'!L40,F37,AB37,AC37,AD37)</f>
        <v>0</v>
      </c>
      <c r="W37" s="576" cm="1">
        <f t="array" ref="W37">CalculateCementCarbonUptake('ZERO-B Beregning'!$D$17,'Inndata Bygg'!H40,'Inndata Bygg'!G40,'Inndata Bygg'!N40)</f>
        <v>0</v>
      </c>
      <c r="X37" s="331" cm="1">
        <f t="array" ref="X37">IF(SUM(F37:J37,L37)=0, 0, SUM(F37:J37,L37)*(1+'Inndata Bygg'!K40)*IF('Inndata Bygg'!H40&gt;50, 0, _xlfn.XLOOKUP('Inndata Bygg'!H40, År_etter_ferdigstillelse, IF(VALUE(LEFT('Inndata Bygg'!B40, 2))= 49, f_tid_x_f_tek_d_0_037_kumulativ, f_tid_x_f_tek_d_0_01_kumulativ))))</f>
        <v>0</v>
      </c>
      <c r="Y37" s="330">
        <f>IF(X37=0, 0, SUM(K37,M37)*(1+'Inndata Bygg'!K40)*IF('Inndata Bygg'!H40&gt;50, 0, _xlfn.XLOOKUP('Inndata Bygg'!H40, År_etter_ferdigstillelse, f_tid_x_f_tek_d_0_01_kumulativ)))</f>
        <v>0</v>
      </c>
      <c r="Z37" s="336">
        <f>IF(X37=0, 0, SUM(N37:P37)*(1+'Inndata Bygg'!K40)*IF('Inndata Bygg'!H40&gt;50, 0, _xlfn.XLOOKUP('Inndata Bygg'!H40, År_etter_ferdigstillelse, f_tid_x_f_tek_d_0_01_kumulativ)))</f>
        <v>0</v>
      </c>
      <c r="AA37" s="336">
        <f>IF(X37=0, 0, ('Inndata Bygg'!G40+'Inndata Bygg'!O40+'Inndata Bygg'!S40)*(1+'Inndata Bygg'!K40)*Transport_utslipp_til_avfallshånderting_per_kg*IF('Inndata Bygg'!H40&gt;50, 0, _xlfn.XLOOKUP('Inndata Bygg'!H40, År_etter_ferdigstillelse, f_tid_x_f_tek_d_0_01_kumulativ)))</f>
        <v>0</v>
      </c>
      <c r="AB37" s="580" cm="1">
        <f t="array" ref="AB37">CalculateEmissionsFromIncinerationOfWaste('ZERO-B Beregning'!$D$17,'Inndata Bygg'!H40,'Inndata Bygg'!G40,'Inndata Bygg'!X40,'Inndata Bygg'!L40,'Inndata Bygg'!M40,'Inndata Bygg'!B40)</f>
        <v>0</v>
      </c>
      <c r="AC37" s="335">
        <f>IF(('Inndata Bygg'!G40+'Inndata Bygg'!O40+'Inndata Bygg'!S40) = 0, 0,('Inndata Bygg'!G40+'Inndata Bygg'!O40+'Inndata Bygg'!S40)*(('Inndata Bygg'!X40+'Inndata Bygg'!Y40+'Inndata Bygg'!AA40)*Transport_utslipp_til_avfallshånderting_per_kg+('Inndata Bygg'!Z40*'ZERO-B Beregning'!D139/1000)*IF('ZERO-B Beregning'!F140=0,'ZERO-B Beregning'!D140,'ZERO-B Beregning'!F140))*_xlfn.XLOOKUP(51, År_etter_ferdigstillelse, f_tid_x_f_tek_d_0_01))</f>
        <v>0</v>
      </c>
      <c r="AD37" s="577">
        <f>IF(('Inndata Bygg'!G40+'Inndata Bygg'!O40+'Inndata Bygg'!S40) = 0, 0,1.833*('Inndata Bygg'!G40*('Inndata Bygg'!L40*0.5+'Inndata Bygg'!M40*0.8)+'Inndata Bygg'!O40*'Inndata Bygg'!Q40+'Inndata Bygg'!S40*'Inndata Bygg'!U40)*AG37*_xlfn.XLOOKUP(51, År_etter_ferdigstillelse,  f_tid_x_f_tek_d_0_01))</f>
        <v>0</v>
      </c>
      <c r="AE37" s="575" cm="1">
        <f t="array" ref="AE37">CalculateEmissionsReductionFromReuse('ZERO-B Beregning'!$D$17,'Inndata Bygg'!H40,'Inndata Bygg'!G40,'Inndata Bygg'!Z40,'Inndata Bygg'!X40,'Inndata Bygg'!Y40,F37,'Inndata Bygg'!B40)</f>
        <v>0</v>
      </c>
      <c r="AF37" s="333" cm="1">
        <f t="array" ref="AF37">CalculateEmissionReductionFromRecycling('ZERO-B Beregning'!$D$17,'Inndata Bygg'!H40,'Inndata Bygg'!G40,'Inndata Bygg'!AA40,'Inndata Bygg'!X40,'Inndata Bygg'!Y40,F37,'Inndata Bygg'!B40)</f>
        <v>0</v>
      </c>
      <c r="AG37" s="572">
        <f>IF(('Inndata Bygg'!G40+'Inndata Bygg'!O40+'Inndata Bygg'!S40) = 0, 0,'Inndata Bygg'!X40*Faktorer!$Z$58)</f>
        <v>0</v>
      </c>
      <c r="AH37" s="573">
        <f>IF(('Inndata Bygg'!G40+'Inndata Bygg'!O40+'Inndata Bygg'!S40) = 0, 0,'Inndata Bygg'!Z40+('Inndata Bygg'!X40+'Inndata Bygg'!Y40)*(1-Faktorer!$Z$58)*0.5)</f>
        <v>0</v>
      </c>
      <c r="AI37" s="574">
        <f>IF(('Inndata Bygg'!G40+'Inndata Bygg'!O40+'Inndata Bygg'!S40) = 0, 0,'Inndata Bygg'!AA40+('Inndata Bygg'!X40+'Inndata Bygg'!Y40)*(1-Faktorer!$Z$58)*0.5)</f>
        <v>0</v>
      </c>
      <c r="AJ37" s="634"/>
      <c r="AK37" s="90">
        <f t="shared" si="2"/>
        <v>0</v>
      </c>
      <c r="AL37" s="91">
        <f>'Resultater detaljert Bygg'!N37</f>
        <v>0</v>
      </c>
      <c r="AM37" s="91" t="str">
        <f>IF(F37=0,"",('Inndata Bygg'!E40+'Inndata Bygg'!F40)*ROUNDDOWN('Inndata Bygg'!I40,0)*(1+'Inndata Bygg'!K40))</f>
        <v/>
      </c>
    </row>
    <row r="38" spans="2:39">
      <c r="B38" s="339">
        <f>'Inndata Bygg'!B41</f>
        <v>0</v>
      </c>
      <c r="C38" s="340">
        <f>'Inndata Bygg'!C41</f>
        <v>0</v>
      </c>
      <c r="D38" s="341">
        <f>'Inndata Bygg'!D41</f>
        <v>0</v>
      </c>
      <c r="E38" s="421" cm="1">
        <f t="array" ref="E38">SUM(IFERROR(F38:AD38,0))</f>
        <v>0</v>
      </c>
      <c r="F38" s="330">
        <f>'Inndata Bygg'!E41</f>
        <v>0</v>
      </c>
      <c r="G38" s="330">
        <f>IF('Inndata Bygg'!AB41="Ja", -0.8*'Resultater detaljert Bygg'!F38, 0)</f>
        <v>0</v>
      </c>
      <c r="H38" s="330">
        <f>IF('Inndata Bygg'!AC41="Ja", -0.4*'Resultater detaljert Bygg'!$F38, 0)</f>
        <v>0</v>
      </c>
      <c r="I38" s="330">
        <f>IF('Inndata Bygg'!AD41="Ja", -1*'Resultater detaljert Bygg'!$F38, 0)</f>
        <v>0</v>
      </c>
      <c r="J38" s="330">
        <f>'Inndata Bygg'!O41*'Inndata Bygg'!P41</f>
        <v>0</v>
      </c>
      <c r="K38" s="330">
        <f>MAX(-0.75*(SUM('Resultater detaljert Bygg'!F38:J38)),-'Inndata Bygg'!O41*'Inndata Bygg'!Q41)</f>
        <v>0</v>
      </c>
      <c r="L38" s="330">
        <f>'Inndata Bygg'!S41*'Inndata Bygg'!T41</f>
        <v>0</v>
      </c>
      <c r="M38" s="330">
        <f>MAX(-0.75*(SUM('Resultater detaljert Bygg'!F38:I38,L38)),-'Inndata Bygg'!S41*'Inndata Bygg'!U41)</f>
        <v>0</v>
      </c>
      <c r="N38" s="331">
        <f>'Inndata Bygg'!F41</f>
        <v>0</v>
      </c>
      <c r="O38" s="330">
        <f>'Inndata Bygg'!O41*'Inndata Bygg'!R41</f>
        <v>0</v>
      </c>
      <c r="P38" s="332">
        <f>'Inndata Bygg'!S41*'Inndata Bygg'!V41</f>
        <v>0</v>
      </c>
      <c r="Q38" s="493">
        <f>SUM(F38:J38,L38)*'Inndata Bygg'!K41</f>
        <v>0</v>
      </c>
      <c r="R38" s="333">
        <f>(K38+M38)*'Inndata Bygg'!K41</f>
        <v>0</v>
      </c>
      <c r="S38" s="493">
        <f>N38*'Inndata Bygg'!K41</f>
        <v>0</v>
      </c>
      <c r="T38" s="494">
        <f>'Inndata Bygg'!G41*'Inndata Bygg'!K41*Transport_utslipp_til_avfallshånderting_per_kg</f>
        <v>0</v>
      </c>
      <c r="U38" s="330">
        <f>IF('Inndata Bygg'!E41 = 0, 0, 1.833*'Inndata Bygg'!X41*'Inndata Bygg'!K41*('Inndata Bygg'!G41*('Inndata Bygg'!L41*0.5+'Inndata Bygg'!M41*0.8) + (12/44)*('Inndata Bygg'!O41*'Inndata Bygg'!Q41+'Inndata Bygg'!S41*'Inndata Bygg'!U41)))</f>
        <v>0</v>
      </c>
      <c r="V38" s="335" cm="1">
        <f t="array" ref="V38">CalculateBiogenicCarbonUptake('ZERO-B Beregning'!$D$17,'Inndata Bygg'!H41,'Inndata Bygg'!G41,'Inndata Bygg'!L41,F38,AB38,AC38,AD38)</f>
        <v>0</v>
      </c>
      <c r="W38" s="576" cm="1">
        <f t="array" ref="W38">CalculateCementCarbonUptake('ZERO-B Beregning'!$D$17,'Inndata Bygg'!H41,'Inndata Bygg'!G41,'Inndata Bygg'!N41)</f>
        <v>0</v>
      </c>
      <c r="X38" s="331" cm="1">
        <f t="array" ref="X38">IF(SUM(F38:J38,L38)=0, 0, SUM(F38:J38,L38)*(1+'Inndata Bygg'!K41)*IF('Inndata Bygg'!H41&gt;50, 0, _xlfn.XLOOKUP('Inndata Bygg'!H41, År_etter_ferdigstillelse, IF(VALUE(LEFT('Inndata Bygg'!B41, 2))= 49, f_tid_x_f_tek_d_0_037_kumulativ, f_tid_x_f_tek_d_0_01_kumulativ))))</f>
        <v>0</v>
      </c>
      <c r="Y38" s="330">
        <f>IF(X38=0, 0, SUM(K38,M38)*(1+'Inndata Bygg'!K41)*IF('Inndata Bygg'!H41&gt;50, 0, _xlfn.XLOOKUP('Inndata Bygg'!H41, År_etter_ferdigstillelse, f_tid_x_f_tek_d_0_01_kumulativ)))</f>
        <v>0</v>
      </c>
      <c r="Z38" s="336">
        <f>IF(X38=0, 0, SUM(N38:P38)*(1+'Inndata Bygg'!K41)*IF('Inndata Bygg'!H41&gt;50, 0, _xlfn.XLOOKUP('Inndata Bygg'!H41, År_etter_ferdigstillelse, f_tid_x_f_tek_d_0_01_kumulativ)))</f>
        <v>0</v>
      </c>
      <c r="AA38" s="336">
        <f>IF(X38=0, 0, ('Inndata Bygg'!G41+'Inndata Bygg'!O41+'Inndata Bygg'!S41)*(1+'Inndata Bygg'!K41)*Transport_utslipp_til_avfallshånderting_per_kg*IF('Inndata Bygg'!H41&gt;50, 0, _xlfn.XLOOKUP('Inndata Bygg'!H41, År_etter_ferdigstillelse, f_tid_x_f_tek_d_0_01_kumulativ)))</f>
        <v>0</v>
      </c>
      <c r="AB38" s="580" cm="1">
        <f t="array" ref="AB38">CalculateEmissionsFromIncinerationOfWaste('ZERO-B Beregning'!$D$17,'Inndata Bygg'!H41,'Inndata Bygg'!G41,'Inndata Bygg'!X41,'Inndata Bygg'!L41,'Inndata Bygg'!M41,'Inndata Bygg'!B41)</f>
        <v>0</v>
      </c>
      <c r="AC38" s="335">
        <f>IF(('Inndata Bygg'!G41+'Inndata Bygg'!O41+'Inndata Bygg'!S41) = 0, 0,('Inndata Bygg'!G41+'Inndata Bygg'!O41+'Inndata Bygg'!S41)*(('Inndata Bygg'!X41+'Inndata Bygg'!Y41+'Inndata Bygg'!AA41)*Transport_utslipp_til_avfallshånderting_per_kg+('Inndata Bygg'!Z41*'ZERO-B Beregning'!D140/1000)*IF('ZERO-B Beregning'!F141=0,'ZERO-B Beregning'!D141,'ZERO-B Beregning'!F141))*_xlfn.XLOOKUP(51, År_etter_ferdigstillelse, f_tid_x_f_tek_d_0_01))</f>
        <v>0</v>
      </c>
      <c r="AD38" s="577">
        <f>IF(('Inndata Bygg'!G41+'Inndata Bygg'!O41+'Inndata Bygg'!S41) = 0, 0,1.833*('Inndata Bygg'!G41*('Inndata Bygg'!L41*0.5+'Inndata Bygg'!M41*0.8)+'Inndata Bygg'!O41*'Inndata Bygg'!Q41+'Inndata Bygg'!S41*'Inndata Bygg'!U41)*AG38*_xlfn.XLOOKUP(51, År_etter_ferdigstillelse,  f_tid_x_f_tek_d_0_01))</f>
        <v>0</v>
      </c>
      <c r="AE38" s="575" cm="1">
        <f t="array" ref="AE38">CalculateEmissionsReductionFromReuse('ZERO-B Beregning'!$D$17,'Inndata Bygg'!H41,'Inndata Bygg'!G41,'Inndata Bygg'!Z41,'Inndata Bygg'!X41,'Inndata Bygg'!Y41,F38,'Inndata Bygg'!B41)</f>
        <v>0</v>
      </c>
      <c r="AF38" s="333" cm="1">
        <f t="array" ref="AF38">CalculateEmissionReductionFromRecycling('ZERO-B Beregning'!$D$17,'Inndata Bygg'!H41,'Inndata Bygg'!G41,'Inndata Bygg'!AA41,'Inndata Bygg'!X41,'Inndata Bygg'!Y41,F38,'Inndata Bygg'!B41)</f>
        <v>0</v>
      </c>
      <c r="AG38" s="572">
        <f>IF(('Inndata Bygg'!G41+'Inndata Bygg'!O41+'Inndata Bygg'!S41) = 0, 0,'Inndata Bygg'!X41*Faktorer!$Z$58)</f>
        <v>0</v>
      </c>
      <c r="AH38" s="573">
        <f>IF(('Inndata Bygg'!G41+'Inndata Bygg'!O41+'Inndata Bygg'!S41) = 0, 0,'Inndata Bygg'!Z41+('Inndata Bygg'!X41+'Inndata Bygg'!Y41)*(1-Faktorer!$Z$58)*0.5)</f>
        <v>0</v>
      </c>
      <c r="AI38" s="574">
        <f>IF(('Inndata Bygg'!G41+'Inndata Bygg'!O41+'Inndata Bygg'!S41) = 0, 0,'Inndata Bygg'!AA41+('Inndata Bygg'!X41+'Inndata Bygg'!Y41)*(1-Faktorer!$Z$58)*0.5)</f>
        <v>0</v>
      </c>
      <c r="AJ38" s="634"/>
      <c r="AK38" s="90">
        <f t="shared" si="2"/>
        <v>0</v>
      </c>
      <c r="AL38" s="91">
        <f>'Resultater detaljert Bygg'!N38</f>
        <v>0</v>
      </c>
      <c r="AM38" s="91" t="str">
        <f>IF(F38=0,"",('Inndata Bygg'!E41+'Inndata Bygg'!F41)*ROUNDDOWN('Inndata Bygg'!I41,0)*(1+'Inndata Bygg'!K41))</f>
        <v/>
      </c>
    </row>
    <row r="39" spans="2:39">
      <c r="B39" s="339">
        <f>'Inndata Bygg'!B42</f>
        <v>0</v>
      </c>
      <c r="C39" s="340">
        <f>'Inndata Bygg'!C42</f>
        <v>0</v>
      </c>
      <c r="D39" s="341">
        <f>'Inndata Bygg'!D42</f>
        <v>0</v>
      </c>
      <c r="E39" s="421" cm="1">
        <f t="array" ref="E39">SUM(IFERROR(F39:AD39,0))</f>
        <v>0</v>
      </c>
      <c r="F39" s="330">
        <f>'Inndata Bygg'!E42</f>
        <v>0</v>
      </c>
      <c r="G39" s="330">
        <f>IF('Inndata Bygg'!AB42="Ja", -0.8*'Resultater detaljert Bygg'!F39, 0)</f>
        <v>0</v>
      </c>
      <c r="H39" s="330">
        <f>IF('Inndata Bygg'!AC42="Ja", -0.4*'Resultater detaljert Bygg'!$F39, 0)</f>
        <v>0</v>
      </c>
      <c r="I39" s="330">
        <f>IF('Inndata Bygg'!AD42="Ja", -1*'Resultater detaljert Bygg'!$F39, 0)</f>
        <v>0</v>
      </c>
      <c r="J39" s="330">
        <f>'Inndata Bygg'!O42*'Inndata Bygg'!P42</f>
        <v>0</v>
      </c>
      <c r="K39" s="330">
        <f>MAX(-0.75*(SUM('Resultater detaljert Bygg'!F39:J39)),-'Inndata Bygg'!O42*'Inndata Bygg'!Q42)</f>
        <v>0</v>
      </c>
      <c r="L39" s="330">
        <f>'Inndata Bygg'!S42*'Inndata Bygg'!T42</f>
        <v>0</v>
      </c>
      <c r="M39" s="330">
        <f>MAX(-0.75*(SUM('Resultater detaljert Bygg'!F39:I39,L39)),-'Inndata Bygg'!S42*'Inndata Bygg'!U42)</f>
        <v>0</v>
      </c>
      <c r="N39" s="331">
        <f>'Inndata Bygg'!F42</f>
        <v>0</v>
      </c>
      <c r="O39" s="330">
        <f>'Inndata Bygg'!O42*'Inndata Bygg'!R42</f>
        <v>0</v>
      </c>
      <c r="P39" s="332">
        <f>'Inndata Bygg'!S42*'Inndata Bygg'!V42</f>
        <v>0</v>
      </c>
      <c r="Q39" s="493">
        <f>SUM(F39:J39,L39)*'Inndata Bygg'!K42</f>
        <v>0</v>
      </c>
      <c r="R39" s="333">
        <f>(K39+M39)*'Inndata Bygg'!K42</f>
        <v>0</v>
      </c>
      <c r="S39" s="493">
        <f>N39*'Inndata Bygg'!K42</f>
        <v>0</v>
      </c>
      <c r="T39" s="494">
        <f>'Inndata Bygg'!G42*'Inndata Bygg'!K42*Transport_utslipp_til_avfallshånderting_per_kg</f>
        <v>0</v>
      </c>
      <c r="U39" s="330">
        <f>IF('Inndata Bygg'!E42 = 0, 0, 1.833*'Inndata Bygg'!X42*'Inndata Bygg'!K42*('Inndata Bygg'!G42*('Inndata Bygg'!L42*0.5+'Inndata Bygg'!M42*0.8) + (12/44)*('Inndata Bygg'!O42*'Inndata Bygg'!Q42+'Inndata Bygg'!S42*'Inndata Bygg'!U42)))</f>
        <v>0</v>
      </c>
      <c r="V39" s="335" cm="1">
        <f t="array" ref="V39">CalculateBiogenicCarbonUptake('ZERO-B Beregning'!$D$17,'Inndata Bygg'!H42,'Inndata Bygg'!G42,'Inndata Bygg'!L42,F39,AB39,AC39,AD39)</f>
        <v>0</v>
      </c>
      <c r="W39" s="576" cm="1">
        <f t="array" ref="W39">CalculateCementCarbonUptake('ZERO-B Beregning'!$D$17,'Inndata Bygg'!H42,'Inndata Bygg'!G42,'Inndata Bygg'!N42)</f>
        <v>0</v>
      </c>
      <c r="X39" s="331" cm="1">
        <f t="array" ref="X39">IF(SUM(F39:J39,L39)=0, 0, SUM(F39:J39,L39)*(1+'Inndata Bygg'!K42)*IF('Inndata Bygg'!H42&gt;50, 0, _xlfn.XLOOKUP('Inndata Bygg'!H42, År_etter_ferdigstillelse, IF(VALUE(LEFT('Inndata Bygg'!B42, 2))= 49, f_tid_x_f_tek_d_0_037_kumulativ, f_tid_x_f_tek_d_0_01_kumulativ))))</f>
        <v>0</v>
      </c>
      <c r="Y39" s="330">
        <f>IF(X39=0, 0, SUM(K39,M39)*(1+'Inndata Bygg'!K42)*IF('Inndata Bygg'!H42&gt;50, 0, _xlfn.XLOOKUP('Inndata Bygg'!H42, År_etter_ferdigstillelse, f_tid_x_f_tek_d_0_01_kumulativ)))</f>
        <v>0</v>
      </c>
      <c r="Z39" s="336">
        <f>IF(X39=0, 0, SUM(N39:P39)*(1+'Inndata Bygg'!K42)*IF('Inndata Bygg'!H42&gt;50, 0, _xlfn.XLOOKUP('Inndata Bygg'!H42, År_etter_ferdigstillelse, f_tid_x_f_tek_d_0_01_kumulativ)))</f>
        <v>0</v>
      </c>
      <c r="AA39" s="336">
        <f>IF(X39=0, 0, ('Inndata Bygg'!G42+'Inndata Bygg'!O42+'Inndata Bygg'!S42)*(1+'Inndata Bygg'!K42)*Transport_utslipp_til_avfallshånderting_per_kg*IF('Inndata Bygg'!H42&gt;50, 0, _xlfn.XLOOKUP('Inndata Bygg'!H42, År_etter_ferdigstillelse, f_tid_x_f_tek_d_0_01_kumulativ)))</f>
        <v>0</v>
      </c>
      <c r="AB39" s="580" cm="1">
        <f t="array" ref="AB39">CalculateEmissionsFromIncinerationOfWaste('ZERO-B Beregning'!$D$17,'Inndata Bygg'!H42,'Inndata Bygg'!G42,'Inndata Bygg'!X42,'Inndata Bygg'!L42,'Inndata Bygg'!M42,'Inndata Bygg'!B42)</f>
        <v>0</v>
      </c>
      <c r="AC39" s="335">
        <f>IF(('Inndata Bygg'!G42+'Inndata Bygg'!O42+'Inndata Bygg'!S42) = 0, 0,('Inndata Bygg'!G42+'Inndata Bygg'!O42+'Inndata Bygg'!S42)*(('Inndata Bygg'!X42+'Inndata Bygg'!Y42+'Inndata Bygg'!AA42)*Transport_utslipp_til_avfallshånderting_per_kg+('Inndata Bygg'!Z42*'ZERO-B Beregning'!D141/1000)*IF('ZERO-B Beregning'!F142=0,'ZERO-B Beregning'!D142,'ZERO-B Beregning'!F142))*_xlfn.XLOOKUP(51, År_etter_ferdigstillelse, f_tid_x_f_tek_d_0_01))</f>
        <v>0</v>
      </c>
      <c r="AD39" s="577">
        <f>IF(('Inndata Bygg'!G42+'Inndata Bygg'!O42+'Inndata Bygg'!S42) = 0, 0,1.833*('Inndata Bygg'!G42*('Inndata Bygg'!L42*0.5+'Inndata Bygg'!M42*0.8)+'Inndata Bygg'!O42*'Inndata Bygg'!Q42+'Inndata Bygg'!S42*'Inndata Bygg'!U42)*AG39*_xlfn.XLOOKUP(51, År_etter_ferdigstillelse,  f_tid_x_f_tek_d_0_01))</f>
        <v>0</v>
      </c>
      <c r="AE39" s="575" cm="1">
        <f t="array" ref="AE39">CalculateEmissionsReductionFromReuse('ZERO-B Beregning'!$D$17,'Inndata Bygg'!H42,'Inndata Bygg'!G42,'Inndata Bygg'!Z42,'Inndata Bygg'!X42,'Inndata Bygg'!Y42,F39,'Inndata Bygg'!B42)</f>
        <v>0</v>
      </c>
      <c r="AF39" s="333" cm="1">
        <f t="array" ref="AF39">CalculateEmissionReductionFromRecycling('ZERO-B Beregning'!$D$17,'Inndata Bygg'!H42,'Inndata Bygg'!G42,'Inndata Bygg'!AA42,'Inndata Bygg'!X42,'Inndata Bygg'!Y42,F39,'Inndata Bygg'!B42)</f>
        <v>0</v>
      </c>
      <c r="AG39" s="572">
        <f>IF(('Inndata Bygg'!G42+'Inndata Bygg'!O42+'Inndata Bygg'!S42) = 0, 0,'Inndata Bygg'!X42*Faktorer!$Z$58)</f>
        <v>0</v>
      </c>
      <c r="AH39" s="573">
        <f>IF(('Inndata Bygg'!G42+'Inndata Bygg'!O42+'Inndata Bygg'!S42) = 0, 0,'Inndata Bygg'!Z42+('Inndata Bygg'!X42+'Inndata Bygg'!Y42)*(1-Faktorer!$Z$58)*0.5)</f>
        <v>0</v>
      </c>
      <c r="AI39" s="574">
        <f>IF(('Inndata Bygg'!G42+'Inndata Bygg'!O42+'Inndata Bygg'!S42) = 0, 0,'Inndata Bygg'!AA42+('Inndata Bygg'!X42+'Inndata Bygg'!Y42)*(1-Faktorer!$Z$58)*0.5)</f>
        <v>0</v>
      </c>
      <c r="AJ39" s="634"/>
      <c r="AK39" s="90">
        <f t="shared" si="2"/>
        <v>0</v>
      </c>
      <c r="AL39" s="91">
        <f>'Resultater detaljert Bygg'!N39</f>
        <v>0</v>
      </c>
      <c r="AM39" s="91" t="str">
        <f>IF(F39=0,"",('Inndata Bygg'!E42+'Inndata Bygg'!F42)*ROUNDDOWN('Inndata Bygg'!I42,0)*(1+'Inndata Bygg'!K42))</f>
        <v/>
      </c>
    </row>
    <row r="40" spans="2:39">
      <c r="B40" s="339">
        <f>'Inndata Bygg'!B43</f>
        <v>0</v>
      </c>
      <c r="C40" s="340">
        <f>'Inndata Bygg'!C43</f>
        <v>0</v>
      </c>
      <c r="D40" s="341">
        <f>'Inndata Bygg'!D43</f>
        <v>0</v>
      </c>
      <c r="E40" s="421" cm="1">
        <f t="array" ref="E40">SUM(IFERROR(F40:AD40,0))</f>
        <v>0</v>
      </c>
      <c r="F40" s="330">
        <f>'Inndata Bygg'!E43</f>
        <v>0</v>
      </c>
      <c r="G40" s="330">
        <f>IF('Inndata Bygg'!AB43="Ja", -0.8*'Resultater detaljert Bygg'!F40, 0)</f>
        <v>0</v>
      </c>
      <c r="H40" s="330">
        <f>IF('Inndata Bygg'!AC43="Ja", -0.4*'Resultater detaljert Bygg'!$F40, 0)</f>
        <v>0</v>
      </c>
      <c r="I40" s="330">
        <f>IF('Inndata Bygg'!AD43="Ja", -1*'Resultater detaljert Bygg'!$F40, 0)</f>
        <v>0</v>
      </c>
      <c r="J40" s="330">
        <f>'Inndata Bygg'!O43*'Inndata Bygg'!P43</f>
        <v>0</v>
      </c>
      <c r="K40" s="330">
        <f>MAX(-0.75*(SUM('Resultater detaljert Bygg'!F40:J40)),-'Inndata Bygg'!O43*'Inndata Bygg'!Q43)</f>
        <v>0</v>
      </c>
      <c r="L40" s="330">
        <f>'Inndata Bygg'!S43*'Inndata Bygg'!T43</f>
        <v>0</v>
      </c>
      <c r="M40" s="330">
        <f>MAX(-0.75*(SUM('Resultater detaljert Bygg'!F40:I40,L40)),-'Inndata Bygg'!S43*'Inndata Bygg'!U43)</f>
        <v>0</v>
      </c>
      <c r="N40" s="331">
        <f>'Inndata Bygg'!F43</f>
        <v>0</v>
      </c>
      <c r="O40" s="330">
        <f>'Inndata Bygg'!O43*'Inndata Bygg'!R43</f>
        <v>0</v>
      </c>
      <c r="P40" s="332">
        <f>'Inndata Bygg'!S43*'Inndata Bygg'!V43</f>
        <v>0</v>
      </c>
      <c r="Q40" s="493">
        <f>SUM(F40:J40,L40)*'Inndata Bygg'!K43</f>
        <v>0</v>
      </c>
      <c r="R40" s="333">
        <f>(K40+M40)*'Inndata Bygg'!K43</f>
        <v>0</v>
      </c>
      <c r="S40" s="493">
        <f>N40*'Inndata Bygg'!K43</f>
        <v>0</v>
      </c>
      <c r="T40" s="494">
        <f>'Inndata Bygg'!G43*'Inndata Bygg'!K43*Transport_utslipp_til_avfallshånderting_per_kg</f>
        <v>0</v>
      </c>
      <c r="U40" s="330">
        <f>IF('Inndata Bygg'!E43 = 0, 0, 1.833*'Inndata Bygg'!X43*'Inndata Bygg'!K43*('Inndata Bygg'!G43*('Inndata Bygg'!L43*0.5+'Inndata Bygg'!M43*0.8) + (12/44)*('Inndata Bygg'!O43*'Inndata Bygg'!Q43+'Inndata Bygg'!S43*'Inndata Bygg'!U43)))</f>
        <v>0</v>
      </c>
      <c r="V40" s="335" cm="1">
        <f t="array" ref="V40">CalculateBiogenicCarbonUptake('ZERO-B Beregning'!$D$17,'Inndata Bygg'!H43,'Inndata Bygg'!G43,'Inndata Bygg'!L43,F40,AB40,AC40,AD40)</f>
        <v>0</v>
      </c>
      <c r="W40" s="576" cm="1">
        <f t="array" ref="W40">CalculateCementCarbonUptake('ZERO-B Beregning'!$D$17,'Inndata Bygg'!H43,'Inndata Bygg'!G43,'Inndata Bygg'!N43)</f>
        <v>0</v>
      </c>
      <c r="X40" s="331" cm="1">
        <f t="array" ref="X40">IF(SUM(F40:J40,L40)=0, 0, SUM(F40:J40,L40)*(1+'Inndata Bygg'!K43)*IF('Inndata Bygg'!H43&gt;50, 0, _xlfn.XLOOKUP('Inndata Bygg'!H43, År_etter_ferdigstillelse, IF(VALUE(LEFT('Inndata Bygg'!B43, 2))= 49, f_tid_x_f_tek_d_0_037_kumulativ, f_tid_x_f_tek_d_0_01_kumulativ))))</f>
        <v>0</v>
      </c>
      <c r="Y40" s="330">
        <f>IF(X40=0, 0, SUM(K40,M40)*(1+'Inndata Bygg'!K43)*IF('Inndata Bygg'!H43&gt;50, 0, _xlfn.XLOOKUP('Inndata Bygg'!H43, År_etter_ferdigstillelse, f_tid_x_f_tek_d_0_01_kumulativ)))</f>
        <v>0</v>
      </c>
      <c r="Z40" s="336">
        <f>IF(X40=0, 0, SUM(N40:P40)*(1+'Inndata Bygg'!K43)*IF('Inndata Bygg'!H43&gt;50, 0, _xlfn.XLOOKUP('Inndata Bygg'!H43, År_etter_ferdigstillelse, f_tid_x_f_tek_d_0_01_kumulativ)))</f>
        <v>0</v>
      </c>
      <c r="AA40" s="336">
        <f>IF(X40=0, 0, ('Inndata Bygg'!G43+'Inndata Bygg'!O43+'Inndata Bygg'!S43)*(1+'Inndata Bygg'!K43)*Transport_utslipp_til_avfallshånderting_per_kg*IF('Inndata Bygg'!H43&gt;50, 0, _xlfn.XLOOKUP('Inndata Bygg'!H43, År_etter_ferdigstillelse, f_tid_x_f_tek_d_0_01_kumulativ)))</f>
        <v>0</v>
      </c>
      <c r="AB40" s="580" cm="1">
        <f t="array" ref="AB40">CalculateEmissionsFromIncinerationOfWaste('ZERO-B Beregning'!$D$17,'Inndata Bygg'!H43,'Inndata Bygg'!G43,'Inndata Bygg'!X43,'Inndata Bygg'!L43,'Inndata Bygg'!M43,'Inndata Bygg'!B43)</f>
        <v>0</v>
      </c>
      <c r="AC40" s="335">
        <f>IF(('Inndata Bygg'!G43+'Inndata Bygg'!O43+'Inndata Bygg'!S43) = 0, 0,('Inndata Bygg'!G43+'Inndata Bygg'!O43+'Inndata Bygg'!S43)*(('Inndata Bygg'!X43+'Inndata Bygg'!Y43+'Inndata Bygg'!AA43)*Transport_utslipp_til_avfallshånderting_per_kg+('Inndata Bygg'!Z43*'ZERO-B Beregning'!D142/1000)*IF('ZERO-B Beregning'!F143=0,'ZERO-B Beregning'!D143,'ZERO-B Beregning'!F143))*_xlfn.XLOOKUP(51, År_etter_ferdigstillelse, f_tid_x_f_tek_d_0_01))</f>
        <v>0</v>
      </c>
      <c r="AD40" s="577">
        <f>IF(('Inndata Bygg'!G43+'Inndata Bygg'!O43+'Inndata Bygg'!S43) = 0, 0,1.833*('Inndata Bygg'!G43*('Inndata Bygg'!L43*0.5+'Inndata Bygg'!M43*0.8)+'Inndata Bygg'!O43*'Inndata Bygg'!Q43+'Inndata Bygg'!S43*'Inndata Bygg'!U43)*AG40*_xlfn.XLOOKUP(51, År_etter_ferdigstillelse,  f_tid_x_f_tek_d_0_01))</f>
        <v>0</v>
      </c>
      <c r="AE40" s="575" cm="1">
        <f t="array" ref="AE40">CalculateEmissionsReductionFromReuse('ZERO-B Beregning'!$D$17,'Inndata Bygg'!H43,'Inndata Bygg'!G43,'Inndata Bygg'!Z43,'Inndata Bygg'!X43,'Inndata Bygg'!Y43,F40,'Inndata Bygg'!B43)</f>
        <v>0</v>
      </c>
      <c r="AF40" s="333" cm="1">
        <f t="array" ref="AF40">CalculateEmissionReductionFromRecycling('ZERO-B Beregning'!$D$17,'Inndata Bygg'!H43,'Inndata Bygg'!G43,'Inndata Bygg'!AA43,'Inndata Bygg'!X43,'Inndata Bygg'!Y43,F40,'Inndata Bygg'!B43)</f>
        <v>0</v>
      </c>
      <c r="AG40" s="572">
        <f>IF(('Inndata Bygg'!G43+'Inndata Bygg'!O43+'Inndata Bygg'!S43) = 0, 0,'Inndata Bygg'!X43*Faktorer!$Z$58)</f>
        <v>0</v>
      </c>
      <c r="AH40" s="573">
        <f>IF(('Inndata Bygg'!G43+'Inndata Bygg'!O43+'Inndata Bygg'!S43) = 0, 0,'Inndata Bygg'!Z43+('Inndata Bygg'!X43+'Inndata Bygg'!Y43)*(1-Faktorer!$Z$58)*0.5)</f>
        <v>0</v>
      </c>
      <c r="AI40" s="574">
        <f>IF(('Inndata Bygg'!G43+'Inndata Bygg'!O43+'Inndata Bygg'!S43) = 0, 0,'Inndata Bygg'!AA43+('Inndata Bygg'!X43+'Inndata Bygg'!Y43)*(1-Faktorer!$Z$58)*0.5)</f>
        <v>0</v>
      </c>
      <c r="AJ40" s="634"/>
      <c r="AK40" s="90">
        <f t="shared" si="2"/>
        <v>0</v>
      </c>
      <c r="AL40" s="91">
        <f>'Resultater detaljert Bygg'!N40</f>
        <v>0</v>
      </c>
      <c r="AM40" s="91" t="str">
        <f>IF(F40=0,"",('Inndata Bygg'!E43+'Inndata Bygg'!F43)*ROUNDDOWN('Inndata Bygg'!I43,0)*(1+'Inndata Bygg'!K43))</f>
        <v/>
      </c>
    </row>
    <row r="41" spans="2:39">
      <c r="B41" s="339">
        <f>'Inndata Bygg'!B44</f>
        <v>0</v>
      </c>
      <c r="C41" s="340">
        <f>'Inndata Bygg'!C44</f>
        <v>0</v>
      </c>
      <c r="D41" s="341">
        <f>'Inndata Bygg'!D44</f>
        <v>0</v>
      </c>
      <c r="E41" s="421" cm="1">
        <f t="array" ref="E41">SUM(IFERROR(F41:AD41,0))</f>
        <v>0</v>
      </c>
      <c r="F41" s="330">
        <f>'Inndata Bygg'!E44</f>
        <v>0</v>
      </c>
      <c r="G41" s="330">
        <f>IF('Inndata Bygg'!AB44="Ja", -0.8*'Resultater detaljert Bygg'!F41, 0)</f>
        <v>0</v>
      </c>
      <c r="H41" s="330">
        <f>IF('Inndata Bygg'!AC44="Ja", -0.4*'Resultater detaljert Bygg'!$F41, 0)</f>
        <v>0</v>
      </c>
      <c r="I41" s="330">
        <f>IF('Inndata Bygg'!AD44="Ja", -1*'Resultater detaljert Bygg'!$F41, 0)</f>
        <v>0</v>
      </c>
      <c r="J41" s="330">
        <f>'Inndata Bygg'!O44*'Inndata Bygg'!P44</f>
        <v>0</v>
      </c>
      <c r="K41" s="330">
        <f>MAX(-0.75*(SUM('Resultater detaljert Bygg'!F41:J41)),-'Inndata Bygg'!O44*'Inndata Bygg'!Q44)</f>
        <v>0</v>
      </c>
      <c r="L41" s="330">
        <f>'Inndata Bygg'!S44*'Inndata Bygg'!T44</f>
        <v>0</v>
      </c>
      <c r="M41" s="330">
        <f>MAX(-0.75*(SUM('Resultater detaljert Bygg'!F41:I41,L41)),-'Inndata Bygg'!S44*'Inndata Bygg'!U44)</f>
        <v>0</v>
      </c>
      <c r="N41" s="331">
        <f>'Inndata Bygg'!F44</f>
        <v>0</v>
      </c>
      <c r="O41" s="330">
        <f>'Inndata Bygg'!O44*'Inndata Bygg'!R44</f>
        <v>0</v>
      </c>
      <c r="P41" s="332">
        <f>'Inndata Bygg'!S44*'Inndata Bygg'!V44</f>
        <v>0</v>
      </c>
      <c r="Q41" s="493">
        <f>SUM(F41:J41,L41)*'Inndata Bygg'!K44</f>
        <v>0</v>
      </c>
      <c r="R41" s="333">
        <f>(K41+M41)*'Inndata Bygg'!K44</f>
        <v>0</v>
      </c>
      <c r="S41" s="493">
        <f>N41*'Inndata Bygg'!K44</f>
        <v>0</v>
      </c>
      <c r="T41" s="494">
        <f>'Inndata Bygg'!G44*'Inndata Bygg'!K44*Transport_utslipp_til_avfallshånderting_per_kg</f>
        <v>0</v>
      </c>
      <c r="U41" s="330">
        <f>IF('Inndata Bygg'!E44 = 0, 0, 1.833*'Inndata Bygg'!X44*'Inndata Bygg'!K44*('Inndata Bygg'!G44*('Inndata Bygg'!L44*0.5+'Inndata Bygg'!M44*0.8) + (12/44)*('Inndata Bygg'!O44*'Inndata Bygg'!Q44+'Inndata Bygg'!S44*'Inndata Bygg'!U44)))</f>
        <v>0</v>
      </c>
      <c r="V41" s="335" cm="1">
        <f t="array" ref="V41">CalculateBiogenicCarbonUptake('ZERO-B Beregning'!$D$17,'Inndata Bygg'!H44,'Inndata Bygg'!G44,'Inndata Bygg'!L44,F41,AB41,AC41,AD41)</f>
        <v>0</v>
      </c>
      <c r="W41" s="576" cm="1">
        <f t="array" ref="W41">CalculateCementCarbonUptake('ZERO-B Beregning'!$D$17,'Inndata Bygg'!H44,'Inndata Bygg'!G44,'Inndata Bygg'!N44)</f>
        <v>0</v>
      </c>
      <c r="X41" s="331" cm="1">
        <f t="array" ref="X41">IF(SUM(F41:J41,L41)=0, 0, SUM(F41:J41,L41)*(1+'Inndata Bygg'!K44)*IF('Inndata Bygg'!H44&gt;50, 0, _xlfn.XLOOKUP('Inndata Bygg'!H44, År_etter_ferdigstillelse, IF(VALUE(LEFT('Inndata Bygg'!B44, 2))= 49, f_tid_x_f_tek_d_0_037_kumulativ, f_tid_x_f_tek_d_0_01_kumulativ))))</f>
        <v>0</v>
      </c>
      <c r="Y41" s="330">
        <f>IF(X41=0, 0, SUM(K41,M41)*(1+'Inndata Bygg'!K44)*IF('Inndata Bygg'!H44&gt;50, 0, _xlfn.XLOOKUP('Inndata Bygg'!H44, År_etter_ferdigstillelse, f_tid_x_f_tek_d_0_01_kumulativ)))</f>
        <v>0</v>
      </c>
      <c r="Z41" s="336">
        <f>IF(X41=0, 0, SUM(N41:P41)*(1+'Inndata Bygg'!K44)*IF('Inndata Bygg'!H44&gt;50, 0, _xlfn.XLOOKUP('Inndata Bygg'!H44, År_etter_ferdigstillelse, f_tid_x_f_tek_d_0_01_kumulativ)))</f>
        <v>0</v>
      </c>
      <c r="AA41" s="336">
        <f>IF(X41=0, 0, ('Inndata Bygg'!G44+'Inndata Bygg'!O44+'Inndata Bygg'!S44)*(1+'Inndata Bygg'!K44)*Transport_utslipp_til_avfallshånderting_per_kg*IF('Inndata Bygg'!H44&gt;50, 0, _xlfn.XLOOKUP('Inndata Bygg'!H44, År_etter_ferdigstillelse, f_tid_x_f_tek_d_0_01_kumulativ)))</f>
        <v>0</v>
      </c>
      <c r="AB41" s="580" cm="1">
        <f t="array" ref="AB41">CalculateEmissionsFromIncinerationOfWaste('ZERO-B Beregning'!$D$17,'Inndata Bygg'!H44,'Inndata Bygg'!G44,'Inndata Bygg'!X44,'Inndata Bygg'!L44,'Inndata Bygg'!M44,'Inndata Bygg'!B44)</f>
        <v>0</v>
      </c>
      <c r="AC41" s="335">
        <f>IF(('Inndata Bygg'!G44+'Inndata Bygg'!O44+'Inndata Bygg'!S44) = 0, 0,('Inndata Bygg'!G44+'Inndata Bygg'!O44+'Inndata Bygg'!S44)*(('Inndata Bygg'!X44+'Inndata Bygg'!Y44+'Inndata Bygg'!AA44)*Transport_utslipp_til_avfallshånderting_per_kg+('Inndata Bygg'!Z44*'ZERO-B Beregning'!D143/1000)*IF('ZERO-B Beregning'!F144=0,'ZERO-B Beregning'!D144,'ZERO-B Beregning'!F144))*_xlfn.XLOOKUP(51, År_etter_ferdigstillelse, f_tid_x_f_tek_d_0_01))</f>
        <v>0</v>
      </c>
      <c r="AD41" s="577">
        <f>IF(('Inndata Bygg'!G44+'Inndata Bygg'!O44+'Inndata Bygg'!S44) = 0, 0,1.833*('Inndata Bygg'!G44*('Inndata Bygg'!L44*0.5+'Inndata Bygg'!M44*0.8)+'Inndata Bygg'!O44*'Inndata Bygg'!Q44+'Inndata Bygg'!S44*'Inndata Bygg'!U44)*AG41*_xlfn.XLOOKUP(51, År_etter_ferdigstillelse,  f_tid_x_f_tek_d_0_01))</f>
        <v>0</v>
      </c>
      <c r="AE41" s="575" cm="1">
        <f t="array" ref="AE41">CalculateEmissionsReductionFromReuse('ZERO-B Beregning'!$D$17,'Inndata Bygg'!H44,'Inndata Bygg'!G44,'Inndata Bygg'!Z44,'Inndata Bygg'!X44,'Inndata Bygg'!Y44,F41,'Inndata Bygg'!B44)</f>
        <v>0</v>
      </c>
      <c r="AF41" s="333" cm="1">
        <f t="array" ref="AF41">CalculateEmissionReductionFromRecycling('ZERO-B Beregning'!$D$17,'Inndata Bygg'!H44,'Inndata Bygg'!G44,'Inndata Bygg'!AA44,'Inndata Bygg'!X44,'Inndata Bygg'!Y44,F41,'Inndata Bygg'!B44)</f>
        <v>0</v>
      </c>
      <c r="AG41" s="572">
        <f>IF(('Inndata Bygg'!G44+'Inndata Bygg'!O44+'Inndata Bygg'!S44) = 0, 0,'Inndata Bygg'!X44*Faktorer!$Z$58)</f>
        <v>0</v>
      </c>
      <c r="AH41" s="573">
        <f>IF(('Inndata Bygg'!G44+'Inndata Bygg'!O44+'Inndata Bygg'!S44) = 0, 0,'Inndata Bygg'!Z44+('Inndata Bygg'!X44+'Inndata Bygg'!Y44)*(1-Faktorer!$Z$58)*0.5)</f>
        <v>0</v>
      </c>
      <c r="AI41" s="574">
        <f>IF(('Inndata Bygg'!G44+'Inndata Bygg'!O44+'Inndata Bygg'!S44) = 0, 0,'Inndata Bygg'!AA44+('Inndata Bygg'!X44+'Inndata Bygg'!Y44)*(1-Faktorer!$Z$58)*0.5)</f>
        <v>0</v>
      </c>
      <c r="AJ41" s="634"/>
      <c r="AK41" s="90">
        <f t="shared" si="2"/>
        <v>0</v>
      </c>
      <c r="AL41" s="91">
        <f>'Resultater detaljert Bygg'!N41</f>
        <v>0</v>
      </c>
      <c r="AM41" s="91" t="str">
        <f>IF(F41=0,"",('Inndata Bygg'!E44+'Inndata Bygg'!F44)*ROUNDDOWN('Inndata Bygg'!I44,0)*(1+'Inndata Bygg'!K44))</f>
        <v/>
      </c>
    </row>
    <row r="42" spans="2:39">
      <c r="B42" s="339">
        <f>'Inndata Bygg'!B45</f>
        <v>0</v>
      </c>
      <c r="C42" s="340">
        <f>'Inndata Bygg'!C45</f>
        <v>0</v>
      </c>
      <c r="D42" s="341">
        <f>'Inndata Bygg'!D45</f>
        <v>0</v>
      </c>
      <c r="E42" s="421" cm="1">
        <f t="array" ref="E42">SUM(IFERROR(F42:AD42,0))</f>
        <v>0</v>
      </c>
      <c r="F42" s="330">
        <f>'Inndata Bygg'!E45</f>
        <v>0</v>
      </c>
      <c r="G42" s="330">
        <f>IF('Inndata Bygg'!AB45="Ja", -0.8*'Resultater detaljert Bygg'!F42, 0)</f>
        <v>0</v>
      </c>
      <c r="H42" s="330">
        <f>IF('Inndata Bygg'!AC45="Ja", -0.4*'Resultater detaljert Bygg'!$F42, 0)</f>
        <v>0</v>
      </c>
      <c r="I42" s="330">
        <f>IF('Inndata Bygg'!AD45="Ja", -1*'Resultater detaljert Bygg'!$F42, 0)</f>
        <v>0</v>
      </c>
      <c r="J42" s="330">
        <f>'Inndata Bygg'!O45*'Inndata Bygg'!P45</f>
        <v>0</v>
      </c>
      <c r="K42" s="330">
        <f>MAX(-0.75*(SUM('Resultater detaljert Bygg'!F42:J42)),-'Inndata Bygg'!O45*'Inndata Bygg'!Q45)</f>
        <v>0</v>
      </c>
      <c r="L42" s="330">
        <f>'Inndata Bygg'!S45*'Inndata Bygg'!T45</f>
        <v>0</v>
      </c>
      <c r="M42" s="330">
        <f>MAX(-0.75*(SUM('Resultater detaljert Bygg'!F42:I42,L42)),-'Inndata Bygg'!S45*'Inndata Bygg'!U45)</f>
        <v>0</v>
      </c>
      <c r="N42" s="331">
        <f>'Inndata Bygg'!F45</f>
        <v>0</v>
      </c>
      <c r="O42" s="330">
        <f>'Inndata Bygg'!O45*'Inndata Bygg'!R45</f>
        <v>0</v>
      </c>
      <c r="P42" s="332">
        <f>'Inndata Bygg'!S45*'Inndata Bygg'!V45</f>
        <v>0</v>
      </c>
      <c r="Q42" s="493">
        <f>SUM(F42:J42,L42)*'Inndata Bygg'!K45</f>
        <v>0</v>
      </c>
      <c r="R42" s="333">
        <f>(K42+M42)*'Inndata Bygg'!K45</f>
        <v>0</v>
      </c>
      <c r="S42" s="493">
        <f>N42*'Inndata Bygg'!K45</f>
        <v>0</v>
      </c>
      <c r="T42" s="494">
        <f>'Inndata Bygg'!G45*'Inndata Bygg'!K45*Transport_utslipp_til_avfallshånderting_per_kg</f>
        <v>0</v>
      </c>
      <c r="U42" s="330">
        <f>IF('Inndata Bygg'!E45 = 0, 0, 1.833*'Inndata Bygg'!X45*'Inndata Bygg'!K45*('Inndata Bygg'!G45*('Inndata Bygg'!L45*0.5+'Inndata Bygg'!M45*0.8) + (12/44)*('Inndata Bygg'!O45*'Inndata Bygg'!Q45+'Inndata Bygg'!S45*'Inndata Bygg'!U45)))</f>
        <v>0</v>
      </c>
      <c r="V42" s="335" cm="1">
        <f t="array" ref="V42">CalculateBiogenicCarbonUptake('ZERO-B Beregning'!$D$17,'Inndata Bygg'!H45,'Inndata Bygg'!G45,'Inndata Bygg'!L45,F42,AB42,AC42,AD42)</f>
        <v>0</v>
      </c>
      <c r="W42" s="576" cm="1">
        <f t="array" ref="W42">CalculateCementCarbonUptake('ZERO-B Beregning'!$D$17,'Inndata Bygg'!H45,'Inndata Bygg'!G45,'Inndata Bygg'!N45)</f>
        <v>0</v>
      </c>
      <c r="X42" s="331" cm="1">
        <f t="array" ref="X42">IF(SUM(F42:J42,L42)=0, 0, SUM(F42:J42,L42)*(1+'Inndata Bygg'!K45)*IF('Inndata Bygg'!H45&gt;50, 0, _xlfn.XLOOKUP('Inndata Bygg'!H45, År_etter_ferdigstillelse, IF(VALUE(LEFT('Inndata Bygg'!B45, 2))= 49, f_tid_x_f_tek_d_0_037_kumulativ, f_tid_x_f_tek_d_0_01_kumulativ))))</f>
        <v>0</v>
      </c>
      <c r="Y42" s="330">
        <f>IF(X42=0, 0, SUM(K42,M42)*(1+'Inndata Bygg'!K45)*IF('Inndata Bygg'!H45&gt;50, 0, _xlfn.XLOOKUP('Inndata Bygg'!H45, År_etter_ferdigstillelse, f_tid_x_f_tek_d_0_01_kumulativ)))</f>
        <v>0</v>
      </c>
      <c r="Z42" s="336">
        <f>IF(X42=0, 0, SUM(N42:P42)*(1+'Inndata Bygg'!K45)*IF('Inndata Bygg'!H45&gt;50, 0, _xlfn.XLOOKUP('Inndata Bygg'!H45, År_etter_ferdigstillelse, f_tid_x_f_tek_d_0_01_kumulativ)))</f>
        <v>0</v>
      </c>
      <c r="AA42" s="336">
        <f>IF(X42=0, 0, ('Inndata Bygg'!G45+'Inndata Bygg'!O45+'Inndata Bygg'!S45)*(1+'Inndata Bygg'!K45)*Transport_utslipp_til_avfallshånderting_per_kg*IF('Inndata Bygg'!H45&gt;50, 0, _xlfn.XLOOKUP('Inndata Bygg'!H45, År_etter_ferdigstillelse, f_tid_x_f_tek_d_0_01_kumulativ)))</f>
        <v>0</v>
      </c>
      <c r="AB42" s="580" cm="1">
        <f t="array" ref="AB42">CalculateEmissionsFromIncinerationOfWaste('ZERO-B Beregning'!$D$17,'Inndata Bygg'!H45,'Inndata Bygg'!G45,'Inndata Bygg'!X45,'Inndata Bygg'!L45,'Inndata Bygg'!M45,'Inndata Bygg'!B45)</f>
        <v>0</v>
      </c>
      <c r="AC42" s="335">
        <f>IF(('Inndata Bygg'!G45+'Inndata Bygg'!O45+'Inndata Bygg'!S45) = 0, 0,('Inndata Bygg'!G45+'Inndata Bygg'!O45+'Inndata Bygg'!S45)*(('Inndata Bygg'!X45+'Inndata Bygg'!Y45+'Inndata Bygg'!AA45)*Transport_utslipp_til_avfallshånderting_per_kg+('Inndata Bygg'!Z45*'ZERO-B Beregning'!D144/1000)*IF('ZERO-B Beregning'!F145=0,'ZERO-B Beregning'!D145,'ZERO-B Beregning'!F145))*_xlfn.XLOOKUP(51, År_etter_ferdigstillelse, f_tid_x_f_tek_d_0_01))</f>
        <v>0</v>
      </c>
      <c r="AD42" s="577">
        <f>IF(('Inndata Bygg'!G45+'Inndata Bygg'!O45+'Inndata Bygg'!S45) = 0, 0,1.833*('Inndata Bygg'!G45*('Inndata Bygg'!L45*0.5+'Inndata Bygg'!M45*0.8)+'Inndata Bygg'!O45*'Inndata Bygg'!Q45+'Inndata Bygg'!S45*'Inndata Bygg'!U45)*AG42*_xlfn.XLOOKUP(51, År_etter_ferdigstillelse,  f_tid_x_f_tek_d_0_01))</f>
        <v>0</v>
      </c>
      <c r="AE42" s="575" cm="1">
        <f t="array" ref="AE42">CalculateEmissionsReductionFromReuse('ZERO-B Beregning'!$D$17,'Inndata Bygg'!H45,'Inndata Bygg'!G45,'Inndata Bygg'!Z45,'Inndata Bygg'!X45,'Inndata Bygg'!Y45,F42,'Inndata Bygg'!B45)</f>
        <v>0</v>
      </c>
      <c r="AF42" s="333" cm="1">
        <f t="array" ref="AF42">CalculateEmissionReductionFromRecycling('ZERO-B Beregning'!$D$17,'Inndata Bygg'!H45,'Inndata Bygg'!G45,'Inndata Bygg'!AA45,'Inndata Bygg'!X45,'Inndata Bygg'!Y45,F42,'Inndata Bygg'!B45)</f>
        <v>0</v>
      </c>
      <c r="AG42" s="572">
        <f>IF(('Inndata Bygg'!G45+'Inndata Bygg'!O45+'Inndata Bygg'!S45) = 0, 0,'Inndata Bygg'!X45*Faktorer!$Z$58)</f>
        <v>0</v>
      </c>
      <c r="AH42" s="573">
        <f>IF(('Inndata Bygg'!G45+'Inndata Bygg'!O45+'Inndata Bygg'!S45) = 0, 0,'Inndata Bygg'!Z45+('Inndata Bygg'!X45+'Inndata Bygg'!Y45)*(1-Faktorer!$Z$58)*0.5)</f>
        <v>0</v>
      </c>
      <c r="AI42" s="574">
        <f>IF(('Inndata Bygg'!G45+'Inndata Bygg'!O45+'Inndata Bygg'!S45) = 0, 0,'Inndata Bygg'!AA45+('Inndata Bygg'!X45+'Inndata Bygg'!Y45)*(1-Faktorer!$Z$58)*0.5)</f>
        <v>0</v>
      </c>
      <c r="AJ42" s="634"/>
      <c r="AK42" s="90">
        <f t="shared" si="2"/>
        <v>0</v>
      </c>
      <c r="AL42" s="91">
        <f>'Resultater detaljert Bygg'!N42</f>
        <v>0</v>
      </c>
      <c r="AM42" s="91" t="str">
        <f>IF(F42=0,"",('Inndata Bygg'!E45+'Inndata Bygg'!F45)*ROUNDDOWN('Inndata Bygg'!I45,0)*(1+'Inndata Bygg'!K45))</f>
        <v/>
      </c>
    </row>
    <row r="43" spans="2:39">
      <c r="B43" s="339">
        <f>'Inndata Bygg'!B46</f>
        <v>0</v>
      </c>
      <c r="C43" s="340">
        <f>'Inndata Bygg'!C46</f>
        <v>0</v>
      </c>
      <c r="D43" s="341">
        <f>'Inndata Bygg'!D46</f>
        <v>0</v>
      </c>
      <c r="E43" s="421" cm="1">
        <f t="array" ref="E43">SUM(IFERROR(F43:AD43,0))</f>
        <v>0</v>
      </c>
      <c r="F43" s="330">
        <f>'Inndata Bygg'!E46</f>
        <v>0</v>
      </c>
      <c r="G43" s="330">
        <f>IF('Inndata Bygg'!AB46="Ja", -0.8*'Resultater detaljert Bygg'!F43, 0)</f>
        <v>0</v>
      </c>
      <c r="H43" s="330">
        <f>IF('Inndata Bygg'!AC46="Ja", -0.4*'Resultater detaljert Bygg'!$F43, 0)</f>
        <v>0</v>
      </c>
      <c r="I43" s="330">
        <f>IF('Inndata Bygg'!AD46="Ja", -1*'Resultater detaljert Bygg'!$F43, 0)</f>
        <v>0</v>
      </c>
      <c r="J43" s="330">
        <f>'Inndata Bygg'!O46*'Inndata Bygg'!P46</f>
        <v>0</v>
      </c>
      <c r="K43" s="330">
        <f>MAX(-0.75*(SUM('Resultater detaljert Bygg'!F43:J43)),-'Inndata Bygg'!O46*'Inndata Bygg'!Q46)</f>
        <v>0</v>
      </c>
      <c r="L43" s="330">
        <f>'Inndata Bygg'!S46*'Inndata Bygg'!T46</f>
        <v>0</v>
      </c>
      <c r="M43" s="330">
        <f>MAX(-0.75*(SUM('Resultater detaljert Bygg'!F43:I43,L43)),-'Inndata Bygg'!S46*'Inndata Bygg'!U46)</f>
        <v>0</v>
      </c>
      <c r="N43" s="331">
        <f>'Inndata Bygg'!F46</f>
        <v>0</v>
      </c>
      <c r="O43" s="330">
        <f>'Inndata Bygg'!O46*'Inndata Bygg'!R46</f>
        <v>0</v>
      </c>
      <c r="P43" s="332">
        <f>'Inndata Bygg'!S46*'Inndata Bygg'!V46</f>
        <v>0</v>
      </c>
      <c r="Q43" s="493">
        <f>SUM(F43:J43,L43)*'Inndata Bygg'!K46</f>
        <v>0</v>
      </c>
      <c r="R43" s="333">
        <f>(K43+M43)*'Inndata Bygg'!K46</f>
        <v>0</v>
      </c>
      <c r="S43" s="493">
        <f>N43*'Inndata Bygg'!K46</f>
        <v>0</v>
      </c>
      <c r="T43" s="494">
        <f>'Inndata Bygg'!G46*'Inndata Bygg'!K46*Transport_utslipp_til_avfallshånderting_per_kg</f>
        <v>0</v>
      </c>
      <c r="U43" s="330">
        <f>IF('Inndata Bygg'!E46 = 0, 0, 1.833*'Inndata Bygg'!X46*'Inndata Bygg'!K46*('Inndata Bygg'!G46*('Inndata Bygg'!L46*0.5+'Inndata Bygg'!M46*0.8) + (12/44)*('Inndata Bygg'!O46*'Inndata Bygg'!Q46+'Inndata Bygg'!S46*'Inndata Bygg'!U46)))</f>
        <v>0</v>
      </c>
      <c r="V43" s="335" cm="1">
        <f t="array" ref="V43">CalculateBiogenicCarbonUptake('ZERO-B Beregning'!$D$17,'Inndata Bygg'!H46,'Inndata Bygg'!G46,'Inndata Bygg'!L46,F43,AB43,AC43,AD43)</f>
        <v>0</v>
      </c>
      <c r="W43" s="576" cm="1">
        <f t="array" ref="W43">CalculateCementCarbonUptake('ZERO-B Beregning'!$D$17,'Inndata Bygg'!H46,'Inndata Bygg'!G46,'Inndata Bygg'!N46)</f>
        <v>0</v>
      </c>
      <c r="X43" s="331" cm="1">
        <f t="array" ref="X43">IF(SUM(F43:J43,L43)=0, 0, SUM(F43:J43,L43)*(1+'Inndata Bygg'!K46)*IF('Inndata Bygg'!H46&gt;50, 0, _xlfn.XLOOKUP('Inndata Bygg'!H46, År_etter_ferdigstillelse, IF(VALUE(LEFT('Inndata Bygg'!B46, 2))= 49, f_tid_x_f_tek_d_0_037_kumulativ, f_tid_x_f_tek_d_0_01_kumulativ))))</f>
        <v>0</v>
      </c>
      <c r="Y43" s="330">
        <f>IF(X43=0, 0, SUM(K43,M43)*(1+'Inndata Bygg'!K46)*IF('Inndata Bygg'!H46&gt;50, 0, _xlfn.XLOOKUP('Inndata Bygg'!H46, År_etter_ferdigstillelse, f_tid_x_f_tek_d_0_01_kumulativ)))</f>
        <v>0</v>
      </c>
      <c r="Z43" s="336">
        <f>IF(X43=0, 0, SUM(N43:P43)*(1+'Inndata Bygg'!K46)*IF('Inndata Bygg'!H46&gt;50, 0, _xlfn.XLOOKUP('Inndata Bygg'!H46, År_etter_ferdigstillelse, f_tid_x_f_tek_d_0_01_kumulativ)))</f>
        <v>0</v>
      </c>
      <c r="AA43" s="336">
        <f>IF(X43=0, 0, ('Inndata Bygg'!G46+'Inndata Bygg'!O46+'Inndata Bygg'!S46)*(1+'Inndata Bygg'!K46)*Transport_utslipp_til_avfallshånderting_per_kg*IF('Inndata Bygg'!H46&gt;50, 0, _xlfn.XLOOKUP('Inndata Bygg'!H46, År_etter_ferdigstillelse, f_tid_x_f_tek_d_0_01_kumulativ)))</f>
        <v>0</v>
      </c>
      <c r="AB43" s="580" cm="1">
        <f t="array" ref="AB43">CalculateEmissionsFromIncinerationOfWaste('ZERO-B Beregning'!$D$17,'Inndata Bygg'!H46,'Inndata Bygg'!G46,'Inndata Bygg'!X46,'Inndata Bygg'!L46,'Inndata Bygg'!M46,'Inndata Bygg'!B46)</f>
        <v>0</v>
      </c>
      <c r="AC43" s="335">
        <f>IF(('Inndata Bygg'!G46+'Inndata Bygg'!O46+'Inndata Bygg'!S46) = 0, 0,('Inndata Bygg'!G46+'Inndata Bygg'!O46+'Inndata Bygg'!S46)*(('Inndata Bygg'!X46+'Inndata Bygg'!Y46+'Inndata Bygg'!AA46)*Transport_utslipp_til_avfallshånderting_per_kg+('Inndata Bygg'!Z46*'ZERO-B Beregning'!D145/1000)*IF('ZERO-B Beregning'!F146=0,'ZERO-B Beregning'!D146,'ZERO-B Beregning'!F146))*_xlfn.XLOOKUP(51, År_etter_ferdigstillelse, f_tid_x_f_tek_d_0_01))</f>
        <v>0</v>
      </c>
      <c r="AD43" s="577">
        <f>IF(('Inndata Bygg'!G46+'Inndata Bygg'!O46+'Inndata Bygg'!S46) = 0, 0,1.833*('Inndata Bygg'!G46*('Inndata Bygg'!L46*0.5+'Inndata Bygg'!M46*0.8)+'Inndata Bygg'!O46*'Inndata Bygg'!Q46+'Inndata Bygg'!S46*'Inndata Bygg'!U46)*AG43*_xlfn.XLOOKUP(51, År_etter_ferdigstillelse,  f_tid_x_f_tek_d_0_01))</f>
        <v>0</v>
      </c>
      <c r="AE43" s="575" cm="1">
        <f t="array" ref="AE43">CalculateEmissionsReductionFromReuse('ZERO-B Beregning'!$D$17,'Inndata Bygg'!H46,'Inndata Bygg'!G46,'Inndata Bygg'!Z46,'Inndata Bygg'!X46,'Inndata Bygg'!Y46,F43,'Inndata Bygg'!B46)</f>
        <v>0</v>
      </c>
      <c r="AF43" s="333" cm="1">
        <f t="array" ref="AF43">CalculateEmissionReductionFromRecycling('ZERO-B Beregning'!$D$17,'Inndata Bygg'!H46,'Inndata Bygg'!G46,'Inndata Bygg'!AA46,'Inndata Bygg'!X46,'Inndata Bygg'!Y46,F43,'Inndata Bygg'!B46)</f>
        <v>0</v>
      </c>
      <c r="AG43" s="572">
        <f>IF(('Inndata Bygg'!G46+'Inndata Bygg'!O46+'Inndata Bygg'!S46) = 0, 0,'Inndata Bygg'!X46*Faktorer!$Z$58)</f>
        <v>0</v>
      </c>
      <c r="AH43" s="573">
        <f>IF(('Inndata Bygg'!G46+'Inndata Bygg'!O46+'Inndata Bygg'!S46) = 0, 0,'Inndata Bygg'!Z46+('Inndata Bygg'!X46+'Inndata Bygg'!Y46)*(1-Faktorer!$Z$58)*0.5)</f>
        <v>0</v>
      </c>
      <c r="AI43" s="574">
        <f>IF(('Inndata Bygg'!G46+'Inndata Bygg'!O46+'Inndata Bygg'!S46) = 0, 0,'Inndata Bygg'!AA46+('Inndata Bygg'!X46+'Inndata Bygg'!Y46)*(1-Faktorer!$Z$58)*0.5)</f>
        <v>0</v>
      </c>
      <c r="AJ43" s="634"/>
      <c r="AK43" s="90">
        <f t="shared" si="2"/>
        <v>0</v>
      </c>
      <c r="AL43" s="91">
        <f>'Resultater detaljert Bygg'!N43</f>
        <v>0</v>
      </c>
      <c r="AM43" s="91" t="str">
        <f>IF(F43=0,"",('Inndata Bygg'!E46+'Inndata Bygg'!F46)*ROUNDDOWN('Inndata Bygg'!I46,0)*(1+'Inndata Bygg'!K46))</f>
        <v/>
      </c>
    </row>
    <row r="44" spans="2:39">
      <c r="B44" s="339">
        <f>'Inndata Bygg'!B47</f>
        <v>0</v>
      </c>
      <c r="C44" s="340">
        <f>'Inndata Bygg'!C47</f>
        <v>0</v>
      </c>
      <c r="D44" s="341">
        <f>'Inndata Bygg'!D47</f>
        <v>0</v>
      </c>
      <c r="E44" s="421" cm="1">
        <f t="array" ref="E44">SUM(IFERROR(F44:AD44,0))</f>
        <v>0</v>
      </c>
      <c r="F44" s="330">
        <f>'Inndata Bygg'!E47</f>
        <v>0</v>
      </c>
      <c r="G44" s="330">
        <f>IF('Inndata Bygg'!AB47="Ja", -0.8*'Resultater detaljert Bygg'!F44, 0)</f>
        <v>0</v>
      </c>
      <c r="H44" s="330">
        <f>IF('Inndata Bygg'!AC47="Ja", -0.4*'Resultater detaljert Bygg'!$F44, 0)</f>
        <v>0</v>
      </c>
      <c r="I44" s="330">
        <f>IF('Inndata Bygg'!AD47="Ja", -1*'Resultater detaljert Bygg'!$F44, 0)</f>
        <v>0</v>
      </c>
      <c r="J44" s="330">
        <f>'Inndata Bygg'!O47*'Inndata Bygg'!P47</f>
        <v>0</v>
      </c>
      <c r="K44" s="330">
        <f>MAX(-0.75*(SUM('Resultater detaljert Bygg'!F44:J44)),-'Inndata Bygg'!O47*'Inndata Bygg'!Q47)</f>
        <v>0</v>
      </c>
      <c r="L44" s="330">
        <f>'Inndata Bygg'!S47*'Inndata Bygg'!T47</f>
        <v>0</v>
      </c>
      <c r="M44" s="330">
        <f>MAX(-0.75*(SUM('Resultater detaljert Bygg'!F44:I44,L44)),-'Inndata Bygg'!S47*'Inndata Bygg'!U47)</f>
        <v>0</v>
      </c>
      <c r="N44" s="331">
        <f>'Inndata Bygg'!F47</f>
        <v>0</v>
      </c>
      <c r="O44" s="330">
        <f>'Inndata Bygg'!O47*'Inndata Bygg'!R47</f>
        <v>0</v>
      </c>
      <c r="P44" s="332">
        <f>'Inndata Bygg'!S47*'Inndata Bygg'!V47</f>
        <v>0</v>
      </c>
      <c r="Q44" s="493">
        <f>SUM(F44:J44,L44)*'Inndata Bygg'!K47</f>
        <v>0</v>
      </c>
      <c r="R44" s="333">
        <f>(K44+M44)*'Inndata Bygg'!K47</f>
        <v>0</v>
      </c>
      <c r="S44" s="493">
        <f>N44*'Inndata Bygg'!K47</f>
        <v>0</v>
      </c>
      <c r="T44" s="494">
        <f>'Inndata Bygg'!G47*'Inndata Bygg'!K47*Transport_utslipp_til_avfallshånderting_per_kg</f>
        <v>0</v>
      </c>
      <c r="U44" s="330">
        <f>IF('Inndata Bygg'!E47 = 0, 0, 1.833*'Inndata Bygg'!X47*'Inndata Bygg'!K47*('Inndata Bygg'!G47*('Inndata Bygg'!L47*0.5+'Inndata Bygg'!M47*0.8) + (12/44)*('Inndata Bygg'!O47*'Inndata Bygg'!Q47+'Inndata Bygg'!S47*'Inndata Bygg'!U47)))</f>
        <v>0</v>
      </c>
      <c r="V44" s="335" cm="1">
        <f t="array" ref="V44">CalculateBiogenicCarbonUptake('ZERO-B Beregning'!$D$17,'Inndata Bygg'!H47,'Inndata Bygg'!G47,'Inndata Bygg'!L47,F44,AB44,AC44,AD44)</f>
        <v>0</v>
      </c>
      <c r="W44" s="576" cm="1">
        <f t="array" ref="W44">CalculateCementCarbonUptake('ZERO-B Beregning'!$D$17,'Inndata Bygg'!H47,'Inndata Bygg'!G47,'Inndata Bygg'!N47)</f>
        <v>0</v>
      </c>
      <c r="X44" s="331" cm="1">
        <f t="array" ref="X44">IF(SUM(F44:J44,L44)=0, 0, SUM(F44:J44,L44)*(1+'Inndata Bygg'!K47)*IF('Inndata Bygg'!H47&gt;50, 0, _xlfn.XLOOKUP('Inndata Bygg'!H47, År_etter_ferdigstillelse, IF(VALUE(LEFT('Inndata Bygg'!B47, 2))= 49, f_tid_x_f_tek_d_0_037_kumulativ, f_tid_x_f_tek_d_0_01_kumulativ))))</f>
        <v>0</v>
      </c>
      <c r="Y44" s="330">
        <f>IF(X44=0, 0, SUM(K44,M44)*(1+'Inndata Bygg'!K47)*IF('Inndata Bygg'!H47&gt;50, 0, _xlfn.XLOOKUP('Inndata Bygg'!H47, År_etter_ferdigstillelse, f_tid_x_f_tek_d_0_01_kumulativ)))</f>
        <v>0</v>
      </c>
      <c r="Z44" s="336">
        <f>IF(X44=0, 0, SUM(N44:P44)*(1+'Inndata Bygg'!K47)*IF('Inndata Bygg'!H47&gt;50, 0, _xlfn.XLOOKUP('Inndata Bygg'!H47, År_etter_ferdigstillelse, f_tid_x_f_tek_d_0_01_kumulativ)))</f>
        <v>0</v>
      </c>
      <c r="AA44" s="336">
        <f>IF(X44=0, 0, ('Inndata Bygg'!G47+'Inndata Bygg'!O47+'Inndata Bygg'!S47)*(1+'Inndata Bygg'!K47)*Transport_utslipp_til_avfallshånderting_per_kg*IF('Inndata Bygg'!H47&gt;50, 0, _xlfn.XLOOKUP('Inndata Bygg'!H47, År_etter_ferdigstillelse, f_tid_x_f_tek_d_0_01_kumulativ)))</f>
        <v>0</v>
      </c>
      <c r="AB44" s="580" cm="1">
        <f t="array" ref="AB44">CalculateEmissionsFromIncinerationOfWaste('ZERO-B Beregning'!$D$17,'Inndata Bygg'!H47,'Inndata Bygg'!G47,'Inndata Bygg'!X47,'Inndata Bygg'!L47,'Inndata Bygg'!M47,'Inndata Bygg'!B47)</f>
        <v>0</v>
      </c>
      <c r="AC44" s="335">
        <f>IF(('Inndata Bygg'!G47+'Inndata Bygg'!O47+'Inndata Bygg'!S47) = 0, 0,('Inndata Bygg'!G47+'Inndata Bygg'!O47+'Inndata Bygg'!S47)*(('Inndata Bygg'!X47+'Inndata Bygg'!Y47+'Inndata Bygg'!AA47)*Transport_utslipp_til_avfallshånderting_per_kg+('Inndata Bygg'!Z47*'ZERO-B Beregning'!D146/1000)*IF('ZERO-B Beregning'!F147=0,'ZERO-B Beregning'!D147,'ZERO-B Beregning'!F147))*_xlfn.XLOOKUP(51, År_etter_ferdigstillelse, f_tid_x_f_tek_d_0_01))</f>
        <v>0</v>
      </c>
      <c r="AD44" s="577">
        <f>IF(('Inndata Bygg'!G47+'Inndata Bygg'!O47+'Inndata Bygg'!S47) = 0, 0,1.833*('Inndata Bygg'!G47*('Inndata Bygg'!L47*0.5+'Inndata Bygg'!M47*0.8)+'Inndata Bygg'!O47*'Inndata Bygg'!Q47+'Inndata Bygg'!S47*'Inndata Bygg'!U47)*AG44*_xlfn.XLOOKUP(51, År_etter_ferdigstillelse,  f_tid_x_f_tek_d_0_01))</f>
        <v>0</v>
      </c>
      <c r="AE44" s="575" cm="1">
        <f t="array" ref="AE44">CalculateEmissionsReductionFromReuse('ZERO-B Beregning'!$D$17,'Inndata Bygg'!H47,'Inndata Bygg'!G47,'Inndata Bygg'!Z47,'Inndata Bygg'!X47,'Inndata Bygg'!Y47,F44,'Inndata Bygg'!B47)</f>
        <v>0</v>
      </c>
      <c r="AF44" s="333" cm="1">
        <f t="array" ref="AF44">CalculateEmissionReductionFromRecycling('ZERO-B Beregning'!$D$17,'Inndata Bygg'!H47,'Inndata Bygg'!G47,'Inndata Bygg'!AA47,'Inndata Bygg'!X47,'Inndata Bygg'!Y47,F44,'Inndata Bygg'!B47)</f>
        <v>0</v>
      </c>
      <c r="AG44" s="572">
        <f>IF(('Inndata Bygg'!G47+'Inndata Bygg'!O47+'Inndata Bygg'!S47) = 0, 0,'Inndata Bygg'!X47*Faktorer!$Z$58)</f>
        <v>0</v>
      </c>
      <c r="AH44" s="573">
        <f>IF(('Inndata Bygg'!G47+'Inndata Bygg'!O47+'Inndata Bygg'!S47) = 0, 0,'Inndata Bygg'!Z47+('Inndata Bygg'!X47+'Inndata Bygg'!Y47)*(1-Faktorer!$Z$58)*0.5)</f>
        <v>0</v>
      </c>
      <c r="AI44" s="574">
        <f>IF(('Inndata Bygg'!G47+'Inndata Bygg'!O47+'Inndata Bygg'!S47) = 0, 0,'Inndata Bygg'!AA47+('Inndata Bygg'!X47+'Inndata Bygg'!Y47)*(1-Faktorer!$Z$58)*0.5)</f>
        <v>0</v>
      </c>
      <c r="AJ44" s="634"/>
      <c r="AK44" s="90">
        <f t="shared" si="2"/>
        <v>0</v>
      </c>
      <c r="AL44" s="91">
        <f>'Resultater detaljert Bygg'!N44</f>
        <v>0</v>
      </c>
      <c r="AM44" s="91" t="str">
        <f>IF(F44=0,"",('Inndata Bygg'!E47+'Inndata Bygg'!F47)*ROUNDDOWN('Inndata Bygg'!I47,0)*(1+'Inndata Bygg'!K47))</f>
        <v/>
      </c>
    </row>
    <row r="45" spans="2:39">
      <c r="B45" s="339">
        <f>'Inndata Bygg'!B48</f>
        <v>0</v>
      </c>
      <c r="C45" s="340">
        <f>'Inndata Bygg'!C48</f>
        <v>0</v>
      </c>
      <c r="D45" s="341">
        <f>'Inndata Bygg'!D48</f>
        <v>0</v>
      </c>
      <c r="E45" s="421" cm="1">
        <f t="array" ref="E45">SUM(IFERROR(F45:AD45,0))</f>
        <v>0</v>
      </c>
      <c r="F45" s="330">
        <f>'Inndata Bygg'!E48</f>
        <v>0</v>
      </c>
      <c r="G45" s="330">
        <f>IF('Inndata Bygg'!AB48="Ja", -0.8*'Resultater detaljert Bygg'!F45, 0)</f>
        <v>0</v>
      </c>
      <c r="H45" s="330">
        <f>IF('Inndata Bygg'!AC48="Ja", -0.4*'Resultater detaljert Bygg'!$F45, 0)</f>
        <v>0</v>
      </c>
      <c r="I45" s="330">
        <f>IF('Inndata Bygg'!AD48="Ja", -1*'Resultater detaljert Bygg'!$F45, 0)</f>
        <v>0</v>
      </c>
      <c r="J45" s="330">
        <f>'Inndata Bygg'!O48*'Inndata Bygg'!P48</f>
        <v>0</v>
      </c>
      <c r="K45" s="330">
        <f>MAX(-0.75*(SUM('Resultater detaljert Bygg'!F45:J45)),-'Inndata Bygg'!O48*'Inndata Bygg'!Q48)</f>
        <v>0</v>
      </c>
      <c r="L45" s="330">
        <f>'Inndata Bygg'!S48*'Inndata Bygg'!T48</f>
        <v>0</v>
      </c>
      <c r="M45" s="330">
        <f>MAX(-0.75*(SUM('Resultater detaljert Bygg'!F45:I45,L45)),-'Inndata Bygg'!S48*'Inndata Bygg'!U48)</f>
        <v>0</v>
      </c>
      <c r="N45" s="331">
        <f>'Inndata Bygg'!F48</f>
        <v>0</v>
      </c>
      <c r="O45" s="330">
        <f>'Inndata Bygg'!O48*'Inndata Bygg'!R48</f>
        <v>0</v>
      </c>
      <c r="P45" s="332">
        <f>'Inndata Bygg'!S48*'Inndata Bygg'!V48</f>
        <v>0</v>
      </c>
      <c r="Q45" s="493">
        <f>SUM(F45:J45,L45)*'Inndata Bygg'!K48</f>
        <v>0</v>
      </c>
      <c r="R45" s="333">
        <f>(K45+M45)*'Inndata Bygg'!K48</f>
        <v>0</v>
      </c>
      <c r="S45" s="493">
        <f>N45*'Inndata Bygg'!K48</f>
        <v>0</v>
      </c>
      <c r="T45" s="494">
        <f>'Inndata Bygg'!G48*'Inndata Bygg'!K48*Transport_utslipp_til_avfallshånderting_per_kg</f>
        <v>0</v>
      </c>
      <c r="U45" s="330">
        <f>IF('Inndata Bygg'!E48 = 0, 0, 1.833*'Inndata Bygg'!X48*'Inndata Bygg'!K48*('Inndata Bygg'!G48*('Inndata Bygg'!L48*0.5+'Inndata Bygg'!M48*0.8) + (12/44)*('Inndata Bygg'!O48*'Inndata Bygg'!Q48+'Inndata Bygg'!S48*'Inndata Bygg'!U48)))</f>
        <v>0</v>
      </c>
      <c r="V45" s="335" cm="1">
        <f t="array" ref="V45">CalculateBiogenicCarbonUptake('ZERO-B Beregning'!$D$17,'Inndata Bygg'!H48,'Inndata Bygg'!G48,'Inndata Bygg'!L48,F45,AB45,AC45,AD45)</f>
        <v>0</v>
      </c>
      <c r="W45" s="576" cm="1">
        <f t="array" ref="W45">CalculateCementCarbonUptake('ZERO-B Beregning'!$D$17,'Inndata Bygg'!H48,'Inndata Bygg'!G48,'Inndata Bygg'!N48)</f>
        <v>0</v>
      </c>
      <c r="X45" s="331" cm="1">
        <f t="array" ref="X45">IF(SUM(F45:J45,L45)=0, 0, SUM(F45:J45,L45)*(1+'Inndata Bygg'!K48)*IF('Inndata Bygg'!H48&gt;50, 0, _xlfn.XLOOKUP('Inndata Bygg'!H48, År_etter_ferdigstillelse, IF(VALUE(LEFT('Inndata Bygg'!B48, 2))= 49, f_tid_x_f_tek_d_0_037_kumulativ, f_tid_x_f_tek_d_0_01_kumulativ))))</f>
        <v>0</v>
      </c>
      <c r="Y45" s="330">
        <f>IF(X45=0, 0, SUM(K45,M45)*(1+'Inndata Bygg'!K48)*IF('Inndata Bygg'!H48&gt;50, 0, _xlfn.XLOOKUP('Inndata Bygg'!H48, År_etter_ferdigstillelse, f_tid_x_f_tek_d_0_01_kumulativ)))</f>
        <v>0</v>
      </c>
      <c r="Z45" s="336">
        <f>IF(X45=0, 0, SUM(N45:P45)*(1+'Inndata Bygg'!K48)*IF('Inndata Bygg'!H48&gt;50, 0, _xlfn.XLOOKUP('Inndata Bygg'!H48, År_etter_ferdigstillelse, f_tid_x_f_tek_d_0_01_kumulativ)))</f>
        <v>0</v>
      </c>
      <c r="AA45" s="336">
        <f>IF(X45=0, 0, ('Inndata Bygg'!G48+'Inndata Bygg'!O48+'Inndata Bygg'!S48)*(1+'Inndata Bygg'!K48)*Transport_utslipp_til_avfallshånderting_per_kg*IF('Inndata Bygg'!H48&gt;50, 0, _xlfn.XLOOKUP('Inndata Bygg'!H48, År_etter_ferdigstillelse, f_tid_x_f_tek_d_0_01_kumulativ)))</f>
        <v>0</v>
      </c>
      <c r="AB45" s="580" cm="1">
        <f t="array" ref="AB45">CalculateEmissionsFromIncinerationOfWaste('ZERO-B Beregning'!$D$17,'Inndata Bygg'!H48,'Inndata Bygg'!G48,'Inndata Bygg'!X48,'Inndata Bygg'!L48,'Inndata Bygg'!M48,'Inndata Bygg'!B48)</f>
        <v>0</v>
      </c>
      <c r="AC45" s="335">
        <f>IF(('Inndata Bygg'!G48+'Inndata Bygg'!O48+'Inndata Bygg'!S48) = 0, 0,('Inndata Bygg'!G48+'Inndata Bygg'!O48+'Inndata Bygg'!S48)*(('Inndata Bygg'!X48+'Inndata Bygg'!Y48+'Inndata Bygg'!AA48)*Transport_utslipp_til_avfallshånderting_per_kg+('Inndata Bygg'!Z48*'ZERO-B Beregning'!D147/1000)*IF('ZERO-B Beregning'!F148=0,'ZERO-B Beregning'!D148,'ZERO-B Beregning'!F148))*_xlfn.XLOOKUP(51, År_etter_ferdigstillelse, f_tid_x_f_tek_d_0_01))</f>
        <v>0</v>
      </c>
      <c r="AD45" s="577">
        <f>IF(('Inndata Bygg'!G48+'Inndata Bygg'!O48+'Inndata Bygg'!S48) = 0, 0,1.833*('Inndata Bygg'!G48*('Inndata Bygg'!L48*0.5+'Inndata Bygg'!M48*0.8)+'Inndata Bygg'!O48*'Inndata Bygg'!Q48+'Inndata Bygg'!S48*'Inndata Bygg'!U48)*AG45*_xlfn.XLOOKUP(51, År_etter_ferdigstillelse,  f_tid_x_f_tek_d_0_01))</f>
        <v>0</v>
      </c>
      <c r="AE45" s="575" cm="1">
        <f t="array" ref="AE45">CalculateEmissionsReductionFromReuse('ZERO-B Beregning'!$D$17,'Inndata Bygg'!H48,'Inndata Bygg'!G48,'Inndata Bygg'!Z48,'Inndata Bygg'!X48,'Inndata Bygg'!Y48,F45,'Inndata Bygg'!B48)</f>
        <v>0</v>
      </c>
      <c r="AF45" s="333" cm="1">
        <f t="array" ref="AF45">CalculateEmissionReductionFromRecycling('ZERO-B Beregning'!$D$17,'Inndata Bygg'!H48,'Inndata Bygg'!G48,'Inndata Bygg'!AA48,'Inndata Bygg'!X48,'Inndata Bygg'!Y48,F45,'Inndata Bygg'!B48)</f>
        <v>0</v>
      </c>
      <c r="AG45" s="572">
        <f>IF(('Inndata Bygg'!G48+'Inndata Bygg'!O48+'Inndata Bygg'!S48) = 0, 0,'Inndata Bygg'!X48*Faktorer!$Z$58)</f>
        <v>0</v>
      </c>
      <c r="AH45" s="573">
        <f>IF(('Inndata Bygg'!G48+'Inndata Bygg'!O48+'Inndata Bygg'!S48) = 0, 0,'Inndata Bygg'!Z48+('Inndata Bygg'!X48+'Inndata Bygg'!Y48)*(1-Faktorer!$Z$58)*0.5)</f>
        <v>0</v>
      </c>
      <c r="AI45" s="574">
        <f>IF(('Inndata Bygg'!G48+'Inndata Bygg'!O48+'Inndata Bygg'!S48) = 0, 0,'Inndata Bygg'!AA48+('Inndata Bygg'!X48+'Inndata Bygg'!Y48)*(1-Faktorer!$Z$58)*0.5)</f>
        <v>0</v>
      </c>
      <c r="AJ45" s="634"/>
      <c r="AK45" s="90">
        <f t="shared" si="2"/>
        <v>0</v>
      </c>
      <c r="AL45" s="91">
        <f>'Resultater detaljert Bygg'!N45</f>
        <v>0</v>
      </c>
      <c r="AM45" s="91" t="str">
        <f>IF(F45=0,"",('Inndata Bygg'!E48+'Inndata Bygg'!F48)*ROUNDDOWN('Inndata Bygg'!I48,0)*(1+'Inndata Bygg'!K48))</f>
        <v/>
      </c>
    </row>
    <row r="46" spans="2:39">
      <c r="B46" s="339">
        <f>'Inndata Bygg'!B49</f>
        <v>0</v>
      </c>
      <c r="C46" s="340">
        <f>'Inndata Bygg'!C49</f>
        <v>0</v>
      </c>
      <c r="D46" s="341">
        <f>'Inndata Bygg'!D49</f>
        <v>0</v>
      </c>
      <c r="E46" s="421" cm="1">
        <f t="array" ref="E46">SUM(IFERROR(F46:AD46,0))</f>
        <v>0</v>
      </c>
      <c r="F46" s="330">
        <f>'Inndata Bygg'!E49</f>
        <v>0</v>
      </c>
      <c r="G46" s="330">
        <f>IF('Inndata Bygg'!AB49="Ja", -0.8*'Resultater detaljert Bygg'!F46, 0)</f>
        <v>0</v>
      </c>
      <c r="H46" s="330">
        <f>IF('Inndata Bygg'!AC49="Ja", -0.4*'Resultater detaljert Bygg'!$F46, 0)</f>
        <v>0</v>
      </c>
      <c r="I46" s="330">
        <f>IF('Inndata Bygg'!AD49="Ja", -1*'Resultater detaljert Bygg'!$F46, 0)</f>
        <v>0</v>
      </c>
      <c r="J46" s="330">
        <f>'Inndata Bygg'!O49*'Inndata Bygg'!P49</f>
        <v>0</v>
      </c>
      <c r="K46" s="330">
        <f>MAX(-0.75*(SUM('Resultater detaljert Bygg'!F46:J46)),-'Inndata Bygg'!O49*'Inndata Bygg'!Q49)</f>
        <v>0</v>
      </c>
      <c r="L46" s="330">
        <f>'Inndata Bygg'!S49*'Inndata Bygg'!T49</f>
        <v>0</v>
      </c>
      <c r="M46" s="330">
        <f>MAX(-0.75*(SUM('Resultater detaljert Bygg'!F46:I46,L46)),-'Inndata Bygg'!S49*'Inndata Bygg'!U49)</f>
        <v>0</v>
      </c>
      <c r="N46" s="331">
        <f>'Inndata Bygg'!F49</f>
        <v>0</v>
      </c>
      <c r="O46" s="330">
        <f>'Inndata Bygg'!O49*'Inndata Bygg'!R49</f>
        <v>0</v>
      </c>
      <c r="P46" s="332">
        <f>'Inndata Bygg'!S49*'Inndata Bygg'!V49</f>
        <v>0</v>
      </c>
      <c r="Q46" s="493">
        <f>SUM(F46:J46,L46)*'Inndata Bygg'!K49</f>
        <v>0</v>
      </c>
      <c r="R46" s="333">
        <f>(K46+M46)*'Inndata Bygg'!K49</f>
        <v>0</v>
      </c>
      <c r="S46" s="493">
        <f>N46*'Inndata Bygg'!K49</f>
        <v>0</v>
      </c>
      <c r="T46" s="494">
        <f>'Inndata Bygg'!G49*'Inndata Bygg'!K49*Transport_utslipp_til_avfallshånderting_per_kg</f>
        <v>0</v>
      </c>
      <c r="U46" s="330">
        <f>IF('Inndata Bygg'!E49 = 0, 0, 1.833*'Inndata Bygg'!X49*'Inndata Bygg'!K49*('Inndata Bygg'!G49*('Inndata Bygg'!L49*0.5+'Inndata Bygg'!M49*0.8) + (12/44)*('Inndata Bygg'!O49*'Inndata Bygg'!Q49+'Inndata Bygg'!S49*'Inndata Bygg'!U49)))</f>
        <v>0</v>
      </c>
      <c r="V46" s="335" cm="1">
        <f t="array" ref="V46">CalculateBiogenicCarbonUptake('ZERO-B Beregning'!$D$17,'Inndata Bygg'!H49,'Inndata Bygg'!G49,'Inndata Bygg'!L49,F46,AB46,AC46,AD46)</f>
        <v>0</v>
      </c>
      <c r="W46" s="576" cm="1">
        <f t="array" ref="W46">CalculateCementCarbonUptake('ZERO-B Beregning'!$D$17,'Inndata Bygg'!H49,'Inndata Bygg'!G49,'Inndata Bygg'!N49)</f>
        <v>0</v>
      </c>
      <c r="X46" s="331" cm="1">
        <f t="array" ref="X46">IF(SUM(F46:J46,L46)=0, 0, SUM(F46:J46,L46)*(1+'Inndata Bygg'!K49)*IF('Inndata Bygg'!H49&gt;50, 0, _xlfn.XLOOKUP('Inndata Bygg'!H49, År_etter_ferdigstillelse, IF(VALUE(LEFT('Inndata Bygg'!B49, 2))= 49, f_tid_x_f_tek_d_0_037_kumulativ, f_tid_x_f_tek_d_0_01_kumulativ))))</f>
        <v>0</v>
      </c>
      <c r="Y46" s="330">
        <f>IF(X46=0, 0, SUM(K46,M46)*(1+'Inndata Bygg'!K49)*IF('Inndata Bygg'!H49&gt;50, 0, _xlfn.XLOOKUP('Inndata Bygg'!H49, År_etter_ferdigstillelse, f_tid_x_f_tek_d_0_01_kumulativ)))</f>
        <v>0</v>
      </c>
      <c r="Z46" s="336">
        <f>IF(X46=0, 0, SUM(N46:P46)*(1+'Inndata Bygg'!K49)*IF('Inndata Bygg'!H49&gt;50, 0, _xlfn.XLOOKUP('Inndata Bygg'!H49, År_etter_ferdigstillelse, f_tid_x_f_tek_d_0_01_kumulativ)))</f>
        <v>0</v>
      </c>
      <c r="AA46" s="336">
        <f>IF(X46=0, 0, ('Inndata Bygg'!G49+'Inndata Bygg'!O49+'Inndata Bygg'!S49)*(1+'Inndata Bygg'!K49)*Transport_utslipp_til_avfallshånderting_per_kg*IF('Inndata Bygg'!H49&gt;50, 0, _xlfn.XLOOKUP('Inndata Bygg'!H49, År_etter_ferdigstillelse, f_tid_x_f_tek_d_0_01_kumulativ)))</f>
        <v>0</v>
      </c>
      <c r="AB46" s="580" cm="1">
        <f t="array" ref="AB46">CalculateEmissionsFromIncinerationOfWaste('ZERO-B Beregning'!$D$17,'Inndata Bygg'!H49,'Inndata Bygg'!G49,'Inndata Bygg'!X49,'Inndata Bygg'!L49,'Inndata Bygg'!M49,'Inndata Bygg'!B49)</f>
        <v>0</v>
      </c>
      <c r="AC46" s="335">
        <f>IF(('Inndata Bygg'!G49+'Inndata Bygg'!O49+'Inndata Bygg'!S49) = 0, 0,('Inndata Bygg'!G49+'Inndata Bygg'!O49+'Inndata Bygg'!S49)*(('Inndata Bygg'!X49+'Inndata Bygg'!Y49+'Inndata Bygg'!AA49)*Transport_utslipp_til_avfallshånderting_per_kg+('Inndata Bygg'!Z49*'ZERO-B Beregning'!D148/1000)*IF('ZERO-B Beregning'!F149=0,'ZERO-B Beregning'!D149,'ZERO-B Beregning'!F149))*_xlfn.XLOOKUP(51, År_etter_ferdigstillelse, f_tid_x_f_tek_d_0_01))</f>
        <v>0</v>
      </c>
      <c r="AD46" s="577">
        <f>IF(('Inndata Bygg'!G49+'Inndata Bygg'!O49+'Inndata Bygg'!S49) = 0, 0,1.833*('Inndata Bygg'!G49*('Inndata Bygg'!L49*0.5+'Inndata Bygg'!M49*0.8)+'Inndata Bygg'!O49*'Inndata Bygg'!Q49+'Inndata Bygg'!S49*'Inndata Bygg'!U49)*AG46*_xlfn.XLOOKUP(51, År_etter_ferdigstillelse,  f_tid_x_f_tek_d_0_01))</f>
        <v>0</v>
      </c>
      <c r="AE46" s="575" cm="1">
        <f t="array" ref="AE46">CalculateEmissionsReductionFromReuse('ZERO-B Beregning'!$D$17,'Inndata Bygg'!H49,'Inndata Bygg'!G49,'Inndata Bygg'!Z49,'Inndata Bygg'!X49,'Inndata Bygg'!Y49,F46,'Inndata Bygg'!B49)</f>
        <v>0</v>
      </c>
      <c r="AF46" s="333" cm="1">
        <f t="array" ref="AF46">CalculateEmissionReductionFromRecycling('ZERO-B Beregning'!$D$17,'Inndata Bygg'!H49,'Inndata Bygg'!G49,'Inndata Bygg'!AA49,'Inndata Bygg'!X49,'Inndata Bygg'!Y49,F46,'Inndata Bygg'!B49)</f>
        <v>0</v>
      </c>
      <c r="AG46" s="572">
        <f>IF(('Inndata Bygg'!G49+'Inndata Bygg'!O49+'Inndata Bygg'!S49) = 0, 0,'Inndata Bygg'!X49*Faktorer!$Z$58)</f>
        <v>0</v>
      </c>
      <c r="AH46" s="573">
        <f>IF(('Inndata Bygg'!G49+'Inndata Bygg'!O49+'Inndata Bygg'!S49) = 0, 0,'Inndata Bygg'!Z49+('Inndata Bygg'!X49+'Inndata Bygg'!Y49)*(1-Faktorer!$Z$58)*0.5)</f>
        <v>0</v>
      </c>
      <c r="AI46" s="574">
        <f>IF(('Inndata Bygg'!G49+'Inndata Bygg'!O49+'Inndata Bygg'!S49) = 0, 0,'Inndata Bygg'!AA49+('Inndata Bygg'!X49+'Inndata Bygg'!Y49)*(1-Faktorer!$Z$58)*0.5)</f>
        <v>0</v>
      </c>
      <c r="AJ46" s="634"/>
      <c r="AK46" s="90">
        <f t="shared" si="2"/>
        <v>0</v>
      </c>
      <c r="AL46" s="91">
        <f>'Resultater detaljert Bygg'!N46</f>
        <v>0</v>
      </c>
      <c r="AM46" s="91" t="str">
        <f>IF(F46=0,"",('Inndata Bygg'!E49+'Inndata Bygg'!F49)*ROUNDDOWN('Inndata Bygg'!I49,0)*(1+'Inndata Bygg'!K49))</f>
        <v/>
      </c>
    </row>
    <row r="47" spans="2:39">
      <c r="B47" s="339">
        <f>'Inndata Bygg'!B50</f>
        <v>0</v>
      </c>
      <c r="C47" s="340">
        <f>'Inndata Bygg'!C50</f>
        <v>0</v>
      </c>
      <c r="D47" s="341">
        <f>'Inndata Bygg'!D50</f>
        <v>0</v>
      </c>
      <c r="E47" s="421" cm="1">
        <f t="array" ref="E47">SUM(IFERROR(F47:AD47,0))</f>
        <v>0</v>
      </c>
      <c r="F47" s="330">
        <f>'Inndata Bygg'!E50</f>
        <v>0</v>
      </c>
      <c r="G47" s="330">
        <f>IF('Inndata Bygg'!AB50="Ja", -0.8*'Resultater detaljert Bygg'!F47, 0)</f>
        <v>0</v>
      </c>
      <c r="H47" s="330">
        <f>IF('Inndata Bygg'!AC50="Ja", -0.4*'Resultater detaljert Bygg'!$F47, 0)</f>
        <v>0</v>
      </c>
      <c r="I47" s="330">
        <f>IF('Inndata Bygg'!AD50="Ja", -1*'Resultater detaljert Bygg'!$F47, 0)</f>
        <v>0</v>
      </c>
      <c r="J47" s="330">
        <f>'Inndata Bygg'!O50*'Inndata Bygg'!P50</f>
        <v>0</v>
      </c>
      <c r="K47" s="330">
        <f>MAX(-0.75*(SUM('Resultater detaljert Bygg'!F47:J47)),-'Inndata Bygg'!O50*'Inndata Bygg'!Q50)</f>
        <v>0</v>
      </c>
      <c r="L47" s="330">
        <f>'Inndata Bygg'!S50*'Inndata Bygg'!T50</f>
        <v>0</v>
      </c>
      <c r="M47" s="330">
        <f>MAX(-0.75*(SUM('Resultater detaljert Bygg'!F47:I47,L47)),-'Inndata Bygg'!S50*'Inndata Bygg'!U50)</f>
        <v>0</v>
      </c>
      <c r="N47" s="331">
        <f>'Inndata Bygg'!F50</f>
        <v>0</v>
      </c>
      <c r="O47" s="330">
        <f>'Inndata Bygg'!O50*'Inndata Bygg'!R50</f>
        <v>0</v>
      </c>
      <c r="P47" s="332">
        <f>'Inndata Bygg'!S50*'Inndata Bygg'!V50</f>
        <v>0</v>
      </c>
      <c r="Q47" s="493">
        <f>SUM(F47:J47,L47)*'Inndata Bygg'!K50</f>
        <v>0</v>
      </c>
      <c r="R47" s="333">
        <f>(K47+M47)*'Inndata Bygg'!K50</f>
        <v>0</v>
      </c>
      <c r="S47" s="493">
        <f>N47*'Inndata Bygg'!K50</f>
        <v>0</v>
      </c>
      <c r="T47" s="494">
        <f>'Inndata Bygg'!G50*'Inndata Bygg'!K50*Transport_utslipp_til_avfallshånderting_per_kg</f>
        <v>0</v>
      </c>
      <c r="U47" s="330">
        <f>IF('Inndata Bygg'!E50 = 0, 0, 1.833*'Inndata Bygg'!X50*'Inndata Bygg'!K50*('Inndata Bygg'!G50*('Inndata Bygg'!L50*0.5+'Inndata Bygg'!M50*0.8) + (12/44)*('Inndata Bygg'!O50*'Inndata Bygg'!Q50+'Inndata Bygg'!S50*'Inndata Bygg'!U50)))</f>
        <v>0</v>
      </c>
      <c r="V47" s="335" cm="1">
        <f t="array" ref="V47">CalculateBiogenicCarbonUptake('ZERO-B Beregning'!$D$17,'Inndata Bygg'!H50,'Inndata Bygg'!G50,'Inndata Bygg'!L50,F47,AB47,AC47,AD47)</f>
        <v>0</v>
      </c>
      <c r="W47" s="576" cm="1">
        <f t="array" ref="W47">CalculateCementCarbonUptake('ZERO-B Beregning'!$D$17,'Inndata Bygg'!H50,'Inndata Bygg'!G50,'Inndata Bygg'!N50)</f>
        <v>0</v>
      </c>
      <c r="X47" s="331" cm="1">
        <f t="array" ref="X47">IF(SUM(F47:J47,L47)=0, 0, SUM(F47:J47,L47)*(1+'Inndata Bygg'!K50)*IF('Inndata Bygg'!H50&gt;50, 0, _xlfn.XLOOKUP('Inndata Bygg'!H50, År_etter_ferdigstillelse, IF(VALUE(LEFT('Inndata Bygg'!B50, 2))= 49, f_tid_x_f_tek_d_0_037_kumulativ, f_tid_x_f_tek_d_0_01_kumulativ))))</f>
        <v>0</v>
      </c>
      <c r="Y47" s="330">
        <f>IF(X47=0, 0, SUM(K47,M47)*(1+'Inndata Bygg'!K50)*IF('Inndata Bygg'!H50&gt;50, 0, _xlfn.XLOOKUP('Inndata Bygg'!H50, År_etter_ferdigstillelse, f_tid_x_f_tek_d_0_01_kumulativ)))</f>
        <v>0</v>
      </c>
      <c r="Z47" s="336">
        <f>IF(X47=0, 0, SUM(N47:P47)*(1+'Inndata Bygg'!K50)*IF('Inndata Bygg'!H50&gt;50, 0, _xlfn.XLOOKUP('Inndata Bygg'!H50, År_etter_ferdigstillelse, f_tid_x_f_tek_d_0_01_kumulativ)))</f>
        <v>0</v>
      </c>
      <c r="AA47" s="336">
        <f>IF(X47=0, 0, ('Inndata Bygg'!G50+'Inndata Bygg'!O50+'Inndata Bygg'!S50)*(1+'Inndata Bygg'!K50)*Transport_utslipp_til_avfallshånderting_per_kg*IF('Inndata Bygg'!H50&gt;50, 0, _xlfn.XLOOKUP('Inndata Bygg'!H50, År_etter_ferdigstillelse, f_tid_x_f_tek_d_0_01_kumulativ)))</f>
        <v>0</v>
      </c>
      <c r="AB47" s="580" cm="1">
        <f t="array" ref="AB47">CalculateEmissionsFromIncinerationOfWaste('ZERO-B Beregning'!$D$17,'Inndata Bygg'!H50,'Inndata Bygg'!G50,'Inndata Bygg'!X50,'Inndata Bygg'!L50,'Inndata Bygg'!M50,'Inndata Bygg'!B50)</f>
        <v>0</v>
      </c>
      <c r="AC47" s="335">
        <f>IF(('Inndata Bygg'!G50+'Inndata Bygg'!O50+'Inndata Bygg'!S50) = 0, 0,('Inndata Bygg'!G50+'Inndata Bygg'!O50+'Inndata Bygg'!S50)*(('Inndata Bygg'!X50+'Inndata Bygg'!Y50+'Inndata Bygg'!AA50)*Transport_utslipp_til_avfallshånderting_per_kg+('Inndata Bygg'!Z50*'ZERO-B Beregning'!D149/1000)*IF('ZERO-B Beregning'!F150=0,'ZERO-B Beregning'!D150,'ZERO-B Beregning'!F150))*_xlfn.XLOOKUP(51, År_etter_ferdigstillelse, f_tid_x_f_tek_d_0_01))</f>
        <v>0</v>
      </c>
      <c r="AD47" s="577">
        <f>IF(('Inndata Bygg'!G50+'Inndata Bygg'!O50+'Inndata Bygg'!S50) = 0, 0,1.833*('Inndata Bygg'!G50*('Inndata Bygg'!L50*0.5+'Inndata Bygg'!M50*0.8)+'Inndata Bygg'!O50*'Inndata Bygg'!Q50+'Inndata Bygg'!S50*'Inndata Bygg'!U50)*AG47*_xlfn.XLOOKUP(51, År_etter_ferdigstillelse,  f_tid_x_f_tek_d_0_01))</f>
        <v>0</v>
      </c>
      <c r="AE47" s="575" cm="1">
        <f t="array" ref="AE47">CalculateEmissionsReductionFromReuse('ZERO-B Beregning'!$D$17,'Inndata Bygg'!H50,'Inndata Bygg'!G50,'Inndata Bygg'!Z50,'Inndata Bygg'!X50,'Inndata Bygg'!Y50,F47,'Inndata Bygg'!B50)</f>
        <v>0</v>
      </c>
      <c r="AF47" s="333" cm="1">
        <f t="array" ref="AF47">CalculateEmissionReductionFromRecycling('ZERO-B Beregning'!$D$17,'Inndata Bygg'!H50,'Inndata Bygg'!G50,'Inndata Bygg'!AA50,'Inndata Bygg'!X50,'Inndata Bygg'!Y50,F47,'Inndata Bygg'!B50)</f>
        <v>0</v>
      </c>
      <c r="AG47" s="572">
        <f>IF(('Inndata Bygg'!G50+'Inndata Bygg'!O50+'Inndata Bygg'!S50) = 0, 0,'Inndata Bygg'!X50*Faktorer!$Z$58)</f>
        <v>0</v>
      </c>
      <c r="AH47" s="573">
        <f>IF(('Inndata Bygg'!G50+'Inndata Bygg'!O50+'Inndata Bygg'!S50) = 0, 0,'Inndata Bygg'!Z50+('Inndata Bygg'!X50+'Inndata Bygg'!Y50)*(1-Faktorer!$Z$58)*0.5)</f>
        <v>0</v>
      </c>
      <c r="AI47" s="574">
        <f>IF(('Inndata Bygg'!G50+'Inndata Bygg'!O50+'Inndata Bygg'!S50) = 0, 0,'Inndata Bygg'!AA50+('Inndata Bygg'!X50+'Inndata Bygg'!Y50)*(1-Faktorer!$Z$58)*0.5)</f>
        <v>0</v>
      </c>
      <c r="AJ47" s="634"/>
      <c r="AK47" s="90">
        <f t="shared" si="2"/>
        <v>0</v>
      </c>
      <c r="AL47" s="91">
        <f>'Resultater detaljert Bygg'!N47</f>
        <v>0</v>
      </c>
      <c r="AM47" s="91" t="str">
        <f>IF(F47=0,"",('Inndata Bygg'!E50+'Inndata Bygg'!F50)*ROUNDDOWN('Inndata Bygg'!I50,0)*(1+'Inndata Bygg'!K50))</f>
        <v/>
      </c>
    </row>
    <row r="48" spans="2:39">
      <c r="B48" s="339">
        <f>'Inndata Bygg'!B51</f>
        <v>0</v>
      </c>
      <c r="C48" s="340">
        <f>'Inndata Bygg'!C51</f>
        <v>0</v>
      </c>
      <c r="D48" s="341">
        <f>'Inndata Bygg'!D51</f>
        <v>0</v>
      </c>
      <c r="E48" s="421" cm="1">
        <f t="array" ref="E48">SUM(IFERROR(F48:AD48,0))</f>
        <v>0</v>
      </c>
      <c r="F48" s="330">
        <f>'Inndata Bygg'!E51</f>
        <v>0</v>
      </c>
      <c r="G48" s="330">
        <f>IF('Inndata Bygg'!AB51="Ja", -0.8*'Resultater detaljert Bygg'!F48, 0)</f>
        <v>0</v>
      </c>
      <c r="H48" s="330">
        <f>IF('Inndata Bygg'!AC51="Ja", -0.4*'Resultater detaljert Bygg'!$F48, 0)</f>
        <v>0</v>
      </c>
      <c r="I48" s="330">
        <f>IF('Inndata Bygg'!AD51="Ja", -1*'Resultater detaljert Bygg'!$F48, 0)</f>
        <v>0</v>
      </c>
      <c r="J48" s="330">
        <f>'Inndata Bygg'!O51*'Inndata Bygg'!P51</f>
        <v>0</v>
      </c>
      <c r="K48" s="330">
        <f>MAX(-0.75*(SUM('Resultater detaljert Bygg'!F48:J48)),-'Inndata Bygg'!O51*'Inndata Bygg'!Q51)</f>
        <v>0</v>
      </c>
      <c r="L48" s="330">
        <f>'Inndata Bygg'!S51*'Inndata Bygg'!T51</f>
        <v>0</v>
      </c>
      <c r="M48" s="330">
        <f>MAX(-0.75*(SUM('Resultater detaljert Bygg'!F48:I48,L48)),-'Inndata Bygg'!S51*'Inndata Bygg'!U51)</f>
        <v>0</v>
      </c>
      <c r="N48" s="331">
        <f>'Inndata Bygg'!F51</f>
        <v>0</v>
      </c>
      <c r="O48" s="330">
        <f>'Inndata Bygg'!O51*'Inndata Bygg'!R51</f>
        <v>0</v>
      </c>
      <c r="P48" s="332">
        <f>'Inndata Bygg'!S51*'Inndata Bygg'!V51</f>
        <v>0</v>
      </c>
      <c r="Q48" s="493">
        <f>SUM(F48:J48,L48)*'Inndata Bygg'!K51</f>
        <v>0</v>
      </c>
      <c r="R48" s="333">
        <f>(K48+M48)*'Inndata Bygg'!K51</f>
        <v>0</v>
      </c>
      <c r="S48" s="493">
        <f>N48*'Inndata Bygg'!K51</f>
        <v>0</v>
      </c>
      <c r="T48" s="494">
        <f>'Inndata Bygg'!G51*'Inndata Bygg'!K51*Transport_utslipp_til_avfallshånderting_per_kg</f>
        <v>0</v>
      </c>
      <c r="U48" s="330">
        <f>IF('Inndata Bygg'!E51 = 0, 0, 1.833*'Inndata Bygg'!X51*'Inndata Bygg'!K51*('Inndata Bygg'!G51*('Inndata Bygg'!L51*0.5+'Inndata Bygg'!M51*0.8) + (12/44)*('Inndata Bygg'!O51*'Inndata Bygg'!Q51+'Inndata Bygg'!S51*'Inndata Bygg'!U51)))</f>
        <v>0</v>
      </c>
      <c r="V48" s="335" cm="1">
        <f t="array" ref="V48">CalculateBiogenicCarbonUptake('ZERO-B Beregning'!$D$17,'Inndata Bygg'!H51,'Inndata Bygg'!G51,'Inndata Bygg'!L51,F48,AB48,AC48,AD48)</f>
        <v>0</v>
      </c>
      <c r="W48" s="576" cm="1">
        <f t="array" ref="W48">CalculateCementCarbonUptake('ZERO-B Beregning'!$D$17,'Inndata Bygg'!H51,'Inndata Bygg'!G51,'Inndata Bygg'!N51)</f>
        <v>0</v>
      </c>
      <c r="X48" s="331" cm="1">
        <f t="array" ref="X48">IF(SUM(F48:J48,L48)=0, 0, SUM(F48:J48,L48)*(1+'Inndata Bygg'!K51)*IF('Inndata Bygg'!H51&gt;50, 0, _xlfn.XLOOKUP('Inndata Bygg'!H51, År_etter_ferdigstillelse, IF(VALUE(LEFT('Inndata Bygg'!B51, 2))= 49, f_tid_x_f_tek_d_0_037_kumulativ, f_tid_x_f_tek_d_0_01_kumulativ))))</f>
        <v>0</v>
      </c>
      <c r="Y48" s="330">
        <f>IF(X48=0, 0, SUM(K48,M48)*(1+'Inndata Bygg'!K51)*IF('Inndata Bygg'!H51&gt;50, 0, _xlfn.XLOOKUP('Inndata Bygg'!H51, År_etter_ferdigstillelse, f_tid_x_f_tek_d_0_01_kumulativ)))</f>
        <v>0</v>
      </c>
      <c r="Z48" s="336">
        <f>IF(X48=0, 0, SUM(N48:P48)*(1+'Inndata Bygg'!K51)*IF('Inndata Bygg'!H51&gt;50, 0, _xlfn.XLOOKUP('Inndata Bygg'!H51, År_etter_ferdigstillelse, f_tid_x_f_tek_d_0_01_kumulativ)))</f>
        <v>0</v>
      </c>
      <c r="AA48" s="336">
        <f>IF(X48=0, 0, ('Inndata Bygg'!G51+'Inndata Bygg'!O51+'Inndata Bygg'!S51)*(1+'Inndata Bygg'!K51)*Transport_utslipp_til_avfallshånderting_per_kg*IF('Inndata Bygg'!H51&gt;50, 0, _xlfn.XLOOKUP('Inndata Bygg'!H51, År_etter_ferdigstillelse, f_tid_x_f_tek_d_0_01_kumulativ)))</f>
        <v>0</v>
      </c>
      <c r="AB48" s="580" cm="1">
        <f t="array" ref="AB48">CalculateEmissionsFromIncinerationOfWaste('ZERO-B Beregning'!$D$17,'Inndata Bygg'!H51,'Inndata Bygg'!G51,'Inndata Bygg'!X51,'Inndata Bygg'!L51,'Inndata Bygg'!M51,'Inndata Bygg'!B51)</f>
        <v>0</v>
      </c>
      <c r="AC48" s="335">
        <f>IF(('Inndata Bygg'!G51+'Inndata Bygg'!O51+'Inndata Bygg'!S51) = 0, 0,('Inndata Bygg'!G51+'Inndata Bygg'!O51+'Inndata Bygg'!S51)*(('Inndata Bygg'!X51+'Inndata Bygg'!Y51+'Inndata Bygg'!AA51)*Transport_utslipp_til_avfallshånderting_per_kg+('Inndata Bygg'!Z51*'ZERO-B Beregning'!D150/1000)*IF('ZERO-B Beregning'!F151=0,'ZERO-B Beregning'!D151,'ZERO-B Beregning'!F151))*_xlfn.XLOOKUP(51, År_etter_ferdigstillelse, f_tid_x_f_tek_d_0_01))</f>
        <v>0</v>
      </c>
      <c r="AD48" s="577">
        <f>IF(('Inndata Bygg'!G51+'Inndata Bygg'!O51+'Inndata Bygg'!S51) = 0, 0,1.833*('Inndata Bygg'!G51*('Inndata Bygg'!L51*0.5+'Inndata Bygg'!M51*0.8)+'Inndata Bygg'!O51*'Inndata Bygg'!Q51+'Inndata Bygg'!S51*'Inndata Bygg'!U51)*AG48*_xlfn.XLOOKUP(51, År_etter_ferdigstillelse,  f_tid_x_f_tek_d_0_01))</f>
        <v>0</v>
      </c>
      <c r="AE48" s="575" cm="1">
        <f t="array" ref="AE48">CalculateEmissionsReductionFromReuse('ZERO-B Beregning'!$D$17,'Inndata Bygg'!H51,'Inndata Bygg'!G51,'Inndata Bygg'!Z51,'Inndata Bygg'!X51,'Inndata Bygg'!Y51,F48,'Inndata Bygg'!B51)</f>
        <v>0</v>
      </c>
      <c r="AF48" s="333" cm="1">
        <f t="array" ref="AF48">CalculateEmissionReductionFromRecycling('ZERO-B Beregning'!$D$17,'Inndata Bygg'!H51,'Inndata Bygg'!G51,'Inndata Bygg'!AA51,'Inndata Bygg'!X51,'Inndata Bygg'!Y51,F48,'Inndata Bygg'!B51)</f>
        <v>0</v>
      </c>
      <c r="AG48" s="572">
        <f>IF(('Inndata Bygg'!G51+'Inndata Bygg'!O51+'Inndata Bygg'!S51) = 0, 0,'Inndata Bygg'!X51*Faktorer!$Z$58)</f>
        <v>0</v>
      </c>
      <c r="AH48" s="573">
        <f>IF(('Inndata Bygg'!G51+'Inndata Bygg'!O51+'Inndata Bygg'!S51) = 0, 0,'Inndata Bygg'!Z51+('Inndata Bygg'!X51+'Inndata Bygg'!Y51)*(1-Faktorer!$Z$58)*0.5)</f>
        <v>0</v>
      </c>
      <c r="AI48" s="574">
        <f>IF(('Inndata Bygg'!G51+'Inndata Bygg'!O51+'Inndata Bygg'!S51) = 0, 0,'Inndata Bygg'!AA51+('Inndata Bygg'!X51+'Inndata Bygg'!Y51)*(1-Faktorer!$Z$58)*0.5)</f>
        <v>0</v>
      </c>
      <c r="AJ48" s="634"/>
      <c r="AK48" s="90">
        <f t="shared" si="2"/>
        <v>0</v>
      </c>
      <c r="AL48" s="91">
        <f>'Resultater detaljert Bygg'!N48</f>
        <v>0</v>
      </c>
      <c r="AM48" s="91" t="str">
        <f>IF(F48=0,"",('Inndata Bygg'!E51+'Inndata Bygg'!F51)*ROUNDDOWN('Inndata Bygg'!I51,0)*(1+'Inndata Bygg'!K51))</f>
        <v/>
      </c>
    </row>
    <row r="49" spans="2:39">
      <c r="B49" s="339">
        <f>'Inndata Bygg'!B52</f>
        <v>0</v>
      </c>
      <c r="C49" s="340">
        <f>'Inndata Bygg'!C52</f>
        <v>0</v>
      </c>
      <c r="D49" s="341">
        <f>'Inndata Bygg'!D52</f>
        <v>0</v>
      </c>
      <c r="E49" s="421" cm="1">
        <f t="array" ref="E49">SUM(IFERROR(F49:AD49,0))</f>
        <v>0</v>
      </c>
      <c r="F49" s="330">
        <f>'Inndata Bygg'!E52</f>
        <v>0</v>
      </c>
      <c r="G49" s="330">
        <f>IF('Inndata Bygg'!AB52="Ja", -0.8*'Resultater detaljert Bygg'!F49, 0)</f>
        <v>0</v>
      </c>
      <c r="H49" s="330">
        <f>IF('Inndata Bygg'!AC52="Ja", -0.4*'Resultater detaljert Bygg'!$F49, 0)</f>
        <v>0</v>
      </c>
      <c r="I49" s="330">
        <f>IF('Inndata Bygg'!AD52="Ja", -1*'Resultater detaljert Bygg'!$F49, 0)</f>
        <v>0</v>
      </c>
      <c r="J49" s="330">
        <f>'Inndata Bygg'!O52*'Inndata Bygg'!P52</f>
        <v>0</v>
      </c>
      <c r="K49" s="330">
        <f>MAX(-0.75*(SUM('Resultater detaljert Bygg'!F49:J49)),-'Inndata Bygg'!O52*'Inndata Bygg'!Q52)</f>
        <v>0</v>
      </c>
      <c r="L49" s="330">
        <f>'Inndata Bygg'!S52*'Inndata Bygg'!T52</f>
        <v>0</v>
      </c>
      <c r="M49" s="330">
        <f>MAX(-0.75*(SUM('Resultater detaljert Bygg'!F49:I49,L49)),-'Inndata Bygg'!S52*'Inndata Bygg'!U52)</f>
        <v>0</v>
      </c>
      <c r="N49" s="331">
        <f>'Inndata Bygg'!F52</f>
        <v>0</v>
      </c>
      <c r="O49" s="330">
        <f>'Inndata Bygg'!O52*'Inndata Bygg'!R52</f>
        <v>0</v>
      </c>
      <c r="P49" s="332">
        <f>'Inndata Bygg'!S52*'Inndata Bygg'!V52</f>
        <v>0</v>
      </c>
      <c r="Q49" s="493">
        <f>SUM(F49:J49,L49)*'Inndata Bygg'!K52</f>
        <v>0</v>
      </c>
      <c r="R49" s="333">
        <f>(K49+M49)*'Inndata Bygg'!K52</f>
        <v>0</v>
      </c>
      <c r="S49" s="493">
        <f>N49*'Inndata Bygg'!K52</f>
        <v>0</v>
      </c>
      <c r="T49" s="494">
        <f>'Inndata Bygg'!G52*'Inndata Bygg'!K52*Transport_utslipp_til_avfallshånderting_per_kg</f>
        <v>0</v>
      </c>
      <c r="U49" s="330">
        <f>IF('Inndata Bygg'!E52 = 0, 0, 1.833*'Inndata Bygg'!X52*'Inndata Bygg'!K52*('Inndata Bygg'!G52*('Inndata Bygg'!L52*0.5+'Inndata Bygg'!M52*0.8) + (12/44)*('Inndata Bygg'!O52*'Inndata Bygg'!Q52+'Inndata Bygg'!S52*'Inndata Bygg'!U52)))</f>
        <v>0</v>
      </c>
      <c r="V49" s="335" cm="1">
        <f t="array" ref="V49">CalculateBiogenicCarbonUptake('ZERO-B Beregning'!$D$17,'Inndata Bygg'!H52,'Inndata Bygg'!G52,'Inndata Bygg'!L52,F49,AB49,AC49,AD49)</f>
        <v>0</v>
      </c>
      <c r="W49" s="576" cm="1">
        <f t="array" ref="W49">CalculateCementCarbonUptake('ZERO-B Beregning'!$D$17,'Inndata Bygg'!H52,'Inndata Bygg'!G52,'Inndata Bygg'!N52)</f>
        <v>0</v>
      </c>
      <c r="X49" s="331" cm="1">
        <f t="array" ref="X49">IF(SUM(F49:J49,L49)=0, 0, SUM(F49:J49,L49)*(1+'Inndata Bygg'!K52)*IF('Inndata Bygg'!H52&gt;50, 0, _xlfn.XLOOKUP('Inndata Bygg'!H52, År_etter_ferdigstillelse, IF(VALUE(LEFT('Inndata Bygg'!B52, 2))= 49, f_tid_x_f_tek_d_0_037_kumulativ, f_tid_x_f_tek_d_0_01_kumulativ))))</f>
        <v>0</v>
      </c>
      <c r="Y49" s="330">
        <f>IF(X49=0, 0, SUM(K49,M49)*(1+'Inndata Bygg'!K52)*IF('Inndata Bygg'!H52&gt;50, 0, _xlfn.XLOOKUP('Inndata Bygg'!H52, År_etter_ferdigstillelse, f_tid_x_f_tek_d_0_01_kumulativ)))</f>
        <v>0</v>
      </c>
      <c r="Z49" s="336">
        <f>IF(X49=0, 0, SUM(N49:P49)*(1+'Inndata Bygg'!K52)*IF('Inndata Bygg'!H52&gt;50, 0, _xlfn.XLOOKUP('Inndata Bygg'!H52, År_etter_ferdigstillelse, f_tid_x_f_tek_d_0_01_kumulativ)))</f>
        <v>0</v>
      </c>
      <c r="AA49" s="336">
        <f>IF(X49=0, 0, ('Inndata Bygg'!G52+'Inndata Bygg'!O52+'Inndata Bygg'!S52)*(1+'Inndata Bygg'!K52)*Transport_utslipp_til_avfallshånderting_per_kg*IF('Inndata Bygg'!H52&gt;50, 0, _xlfn.XLOOKUP('Inndata Bygg'!H52, År_etter_ferdigstillelse, f_tid_x_f_tek_d_0_01_kumulativ)))</f>
        <v>0</v>
      </c>
      <c r="AB49" s="580" cm="1">
        <f t="array" ref="AB49">CalculateEmissionsFromIncinerationOfWaste('ZERO-B Beregning'!$D$17,'Inndata Bygg'!H52,'Inndata Bygg'!G52,'Inndata Bygg'!X52,'Inndata Bygg'!L52,'Inndata Bygg'!M52,'Inndata Bygg'!B52)</f>
        <v>0</v>
      </c>
      <c r="AC49" s="335">
        <f>IF(('Inndata Bygg'!G52+'Inndata Bygg'!O52+'Inndata Bygg'!S52) = 0, 0,('Inndata Bygg'!G52+'Inndata Bygg'!O52+'Inndata Bygg'!S52)*(('Inndata Bygg'!X52+'Inndata Bygg'!Y52+'Inndata Bygg'!AA52)*Transport_utslipp_til_avfallshånderting_per_kg+('Inndata Bygg'!Z52*'ZERO-B Beregning'!D151/1000)*IF('ZERO-B Beregning'!F152=0,'ZERO-B Beregning'!D152,'ZERO-B Beregning'!F152))*_xlfn.XLOOKUP(51, År_etter_ferdigstillelse, f_tid_x_f_tek_d_0_01))</f>
        <v>0</v>
      </c>
      <c r="AD49" s="577">
        <f>IF(('Inndata Bygg'!G52+'Inndata Bygg'!O52+'Inndata Bygg'!S52) = 0, 0,1.833*('Inndata Bygg'!G52*('Inndata Bygg'!L52*0.5+'Inndata Bygg'!M52*0.8)+'Inndata Bygg'!O52*'Inndata Bygg'!Q52+'Inndata Bygg'!S52*'Inndata Bygg'!U52)*AG49*_xlfn.XLOOKUP(51, År_etter_ferdigstillelse,  f_tid_x_f_tek_d_0_01))</f>
        <v>0</v>
      </c>
      <c r="AE49" s="575" cm="1">
        <f t="array" ref="AE49">CalculateEmissionsReductionFromReuse('ZERO-B Beregning'!$D$17,'Inndata Bygg'!H52,'Inndata Bygg'!G52,'Inndata Bygg'!Z52,'Inndata Bygg'!X52,'Inndata Bygg'!Y52,F49,'Inndata Bygg'!B52)</f>
        <v>0</v>
      </c>
      <c r="AF49" s="333" cm="1">
        <f t="array" ref="AF49">CalculateEmissionReductionFromRecycling('ZERO-B Beregning'!$D$17,'Inndata Bygg'!H52,'Inndata Bygg'!G52,'Inndata Bygg'!AA52,'Inndata Bygg'!X52,'Inndata Bygg'!Y52,F49,'Inndata Bygg'!B52)</f>
        <v>0</v>
      </c>
      <c r="AG49" s="572">
        <f>IF(('Inndata Bygg'!G52+'Inndata Bygg'!O52+'Inndata Bygg'!S52) = 0, 0,'Inndata Bygg'!X52*Faktorer!$Z$58)</f>
        <v>0</v>
      </c>
      <c r="AH49" s="573">
        <f>IF(('Inndata Bygg'!G52+'Inndata Bygg'!O52+'Inndata Bygg'!S52) = 0, 0,'Inndata Bygg'!Z52+('Inndata Bygg'!X52+'Inndata Bygg'!Y52)*(1-Faktorer!$Z$58)*0.5)</f>
        <v>0</v>
      </c>
      <c r="AI49" s="574">
        <f>IF(('Inndata Bygg'!G52+'Inndata Bygg'!O52+'Inndata Bygg'!S52) = 0, 0,'Inndata Bygg'!AA52+('Inndata Bygg'!X52+'Inndata Bygg'!Y52)*(1-Faktorer!$Z$58)*0.5)</f>
        <v>0</v>
      </c>
      <c r="AJ49" s="634"/>
      <c r="AK49" s="90">
        <f t="shared" si="2"/>
        <v>0</v>
      </c>
      <c r="AL49" s="91">
        <f>'Resultater detaljert Bygg'!N49</f>
        <v>0</v>
      </c>
      <c r="AM49" s="91" t="str">
        <f>IF(F49=0,"",('Inndata Bygg'!E52+'Inndata Bygg'!F52)*ROUNDDOWN('Inndata Bygg'!I52,0)*(1+'Inndata Bygg'!K52))</f>
        <v/>
      </c>
    </row>
    <row r="50" spans="2:39">
      <c r="B50" s="339">
        <f>'Inndata Bygg'!B53</f>
        <v>0</v>
      </c>
      <c r="C50" s="340">
        <f>'Inndata Bygg'!C53</f>
        <v>0</v>
      </c>
      <c r="D50" s="341">
        <f>'Inndata Bygg'!D53</f>
        <v>0</v>
      </c>
      <c r="E50" s="421" cm="1">
        <f t="array" ref="E50">SUM(IFERROR(F50:AD50,0))</f>
        <v>0</v>
      </c>
      <c r="F50" s="330">
        <f>'Inndata Bygg'!E53</f>
        <v>0</v>
      </c>
      <c r="G50" s="330">
        <f>IF('Inndata Bygg'!AB53="Ja", -0.8*'Resultater detaljert Bygg'!F50, 0)</f>
        <v>0</v>
      </c>
      <c r="H50" s="330">
        <f>IF('Inndata Bygg'!AC53="Ja", -0.4*'Resultater detaljert Bygg'!$F50, 0)</f>
        <v>0</v>
      </c>
      <c r="I50" s="330">
        <f>IF('Inndata Bygg'!AD53="Ja", -1*'Resultater detaljert Bygg'!$F50, 0)</f>
        <v>0</v>
      </c>
      <c r="J50" s="330">
        <f>'Inndata Bygg'!O53*'Inndata Bygg'!P53</f>
        <v>0</v>
      </c>
      <c r="K50" s="330">
        <f>MAX(-0.75*(SUM('Resultater detaljert Bygg'!F50:J50)),-'Inndata Bygg'!O53*'Inndata Bygg'!Q53)</f>
        <v>0</v>
      </c>
      <c r="L50" s="330">
        <f>'Inndata Bygg'!S53*'Inndata Bygg'!T53</f>
        <v>0</v>
      </c>
      <c r="M50" s="330">
        <f>MAX(-0.75*(SUM('Resultater detaljert Bygg'!F50:I50,L50)),-'Inndata Bygg'!S53*'Inndata Bygg'!U53)</f>
        <v>0</v>
      </c>
      <c r="N50" s="331">
        <f>'Inndata Bygg'!F53</f>
        <v>0</v>
      </c>
      <c r="O50" s="330">
        <f>'Inndata Bygg'!O53*'Inndata Bygg'!R53</f>
        <v>0</v>
      </c>
      <c r="P50" s="332">
        <f>'Inndata Bygg'!S53*'Inndata Bygg'!V53</f>
        <v>0</v>
      </c>
      <c r="Q50" s="493">
        <f>SUM(F50:J50,L50)*'Inndata Bygg'!K53</f>
        <v>0</v>
      </c>
      <c r="R50" s="333">
        <f>(K50+M50)*'Inndata Bygg'!K53</f>
        <v>0</v>
      </c>
      <c r="S50" s="493">
        <f>N50*'Inndata Bygg'!K53</f>
        <v>0</v>
      </c>
      <c r="T50" s="494">
        <f>'Inndata Bygg'!G53*'Inndata Bygg'!K53*Transport_utslipp_til_avfallshånderting_per_kg</f>
        <v>0</v>
      </c>
      <c r="U50" s="330">
        <f>IF('Inndata Bygg'!E53 = 0, 0, 1.833*'Inndata Bygg'!X53*'Inndata Bygg'!K53*('Inndata Bygg'!G53*('Inndata Bygg'!L53*0.5+'Inndata Bygg'!M53*0.8) + (12/44)*('Inndata Bygg'!O53*'Inndata Bygg'!Q53+'Inndata Bygg'!S53*'Inndata Bygg'!U53)))</f>
        <v>0</v>
      </c>
      <c r="V50" s="335" cm="1">
        <f t="array" ref="V50">CalculateBiogenicCarbonUptake('ZERO-B Beregning'!$D$17,'Inndata Bygg'!H53,'Inndata Bygg'!G53,'Inndata Bygg'!L53,F50,AB50,AC50,AD50)</f>
        <v>0</v>
      </c>
      <c r="W50" s="576" cm="1">
        <f t="array" ref="W50">CalculateCementCarbonUptake('ZERO-B Beregning'!$D$17,'Inndata Bygg'!H53,'Inndata Bygg'!G53,'Inndata Bygg'!N53)</f>
        <v>0</v>
      </c>
      <c r="X50" s="331" cm="1">
        <f t="array" ref="X50">IF(SUM(F50:J50,L50)=0, 0, SUM(F50:J50,L50)*(1+'Inndata Bygg'!K53)*IF('Inndata Bygg'!H53&gt;50, 0, _xlfn.XLOOKUP('Inndata Bygg'!H53, År_etter_ferdigstillelse, IF(VALUE(LEFT('Inndata Bygg'!B53, 2))= 49, f_tid_x_f_tek_d_0_037_kumulativ, f_tid_x_f_tek_d_0_01_kumulativ))))</f>
        <v>0</v>
      </c>
      <c r="Y50" s="330">
        <f>IF(X50=0, 0, SUM(K50,M50)*(1+'Inndata Bygg'!K53)*IF('Inndata Bygg'!H53&gt;50, 0, _xlfn.XLOOKUP('Inndata Bygg'!H53, År_etter_ferdigstillelse, f_tid_x_f_tek_d_0_01_kumulativ)))</f>
        <v>0</v>
      </c>
      <c r="Z50" s="336">
        <f>IF(X50=0, 0, SUM(N50:P50)*(1+'Inndata Bygg'!K53)*IF('Inndata Bygg'!H53&gt;50, 0, _xlfn.XLOOKUP('Inndata Bygg'!H53, År_etter_ferdigstillelse, f_tid_x_f_tek_d_0_01_kumulativ)))</f>
        <v>0</v>
      </c>
      <c r="AA50" s="336">
        <f>IF(X50=0, 0, ('Inndata Bygg'!G53+'Inndata Bygg'!O53+'Inndata Bygg'!S53)*(1+'Inndata Bygg'!K53)*Transport_utslipp_til_avfallshånderting_per_kg*IF('Inndata Bygg'!H53&gt;50, 0, _xlfn.XLOOKUP('Inndata Bygg'!H53, År_etter_ferdigstillelse, f_tid_x_f_tek_d_0_01_kumulativ)))</f>
        <v>0</v>
      </c>
      <c r="AB50" s="580" cm="1">
        <f t="array" ref="AB50">CalculateEmissionsFromIncinerationOfWaste('ZERO-B Beregning'!$D$17,'Inndata Bygg'!H53,'Inndata Bygg'!G53,'Inndata Bygg'!X53,'Inndata Bygg'!L53,'Inndata Bygg'!M53,'Inndata Bygg'!B53)</f>
        <v>0</v>
      </c>
      <c r="AC50" s="335">
        <f>IF(('Inndata Bygg'!G53+'Inndata Bygg'!O53+'Inndata Bygg'!S53) = 0, 0,('Inndata Bygg'!G53+'Inndata Bygg'!O53+'Inndata Bygg'!S53)*(('Inndata Bygg'!X53+'Inndata Bygg'!Y53+'Inndata Bygg'!AA53)*Transport_utslipp_til_avfallshånderting_per_kg+('Inndata Bygg'!Z53*'ZERO-B Beregning'!D152/1000)*IF('ZERO-B Beregning'!F153=0,'ZERO-B Beregning'!D153,'ZERO-B Beregning'!F153))*_xlfn.XLOOKUP(51, År_etter_ferdigstillelse, f_tid_x_f_tek_d_0_01))</f>
        <v>0</v>
      </c>
      <c r="AD50" s="577">
        <f>IF(('Inndata Bygg'!G53+'Inndata Bygg'!O53+'Inndata Bygg'!S53) = 0, 0,1.833*('Inndata Bygg'!G53*('Inndata Bygg'!L53*0.5+'Inndata Bygg'!M53*0.8)+'Inndata Bygg'!O53*'Inndata Bygg'!Q53+'Inndata Bygg'!S53*'Inndata Bygg'!U53)*AG50*_xlfn.XLOOKUP(51, År_etter_ferdigstillelse,  f_tid_x_f_tek_d_0_01))</f>
        <v>0</v>
      </c>
      <c r="AE50" s="575" cm="1">
        <f t="array" ref="AE50">CalculateEmissionsReductionFromReuse('ZERO-B Beregning'!$D$17,'Inndata Bygg'!H53,'Inndata Bygg'!G53,'Inndata Bygg'!Z53,'Inndata Bygg'!X53,'Inndata Bygg'!Y53,F50,'Inndata Bygg'!B53)</f>
        <v>0</v>
      </c>
      <c r="AF50" s="333" cm="1">
        <f t="array" ref="AF50">CalculateEmissionReductionFromRecycling('ZERO-B Beregning'!$D$17,'Inndata Bygg'!H53,'Inndata Bygg'!G53,'Inndata Bygg'!AA53,'Inndata Bygg'!X53,'Inndata Bygg'!Y53,F50,'Inndata Bygg'!B53)</f>
        <v>0</v>
      </c>
      <c r="AG50" s="572">
        <f>IF(('Inndata Bygg'!G53+'Inndata Bygg'!O53+'Inndata Bygg'!S53) = 0, 0,'Inndata Bygg'!X53*Faktorer!$Z$58)</f>
        <v>0</v>
      </c>
      <c r="AH50" s="573">
        <f>IF(('Inndata Bygg'!G53+'Inndata Bygg'!O53+'Inndata Bygg'!S53) = 0, 0,'Inndata Bygg'!Z53+('Inndata Bygg'!X53+'Inndata Bygg'!Y53)*(1-Faktorer!$Z$58)*0.5)</f>
        <v>0</v>
      </c>
      <c r="AI50" s="574">
        <f>IF(('Inndata Bygg'!G53+'Inndata Bygg'!O53+'Inndata Bygg'!S53) = 0, 0,'Inndata Bygg'!AA53+('Inndata Bygg'!X53+'Inndata Bygg'!Y53)*(1-Faktorer!$Z$58)*0.5)</f>
        <v>0</v>
      </c>
      <c r="AJ50" s="634"/>
      <c r="AK50" s="90">
        <f t="shared" si="2"/>
        <v>0</v>
      </c>
      <c r="AL50" s="91">
        <f>'Resultater detaljert Bygg'!N50</f>
        <v>0</v>
      </c>
      <c r="AM50" s="91" t="str">
        <f>IF(F50=0,"",('Inndata Bygg'!E53+'Inndata Bygg'!F53)*ROUNDDOWN('Inndata Bygg'!I53,0)*(1+'Inndata Bygg'!K53))</f>
        <v/>
      </c>
    </row>
    <row r="51" spans="2:39">
      <c r="B51" s="339">
        <f>'Inndata Bygg'!B54</f>
        <v>0</v>
      </c>
      <c r="C51" s="340">
        <f>'Inndata Bygg'!C54</f>
        <v>0</v>
      </c>
      <c r="D51" s="341">
        <f>'Inndata Bygg'!D54</f>
        <v>0</v>
      </c>
      <c r="E51" s="421" cm="1">
        <f t="array" ref="E51">SUM(IFERROR(F51:AD51,0))</f>
        <v>0</v>
      </c>
      <c r="F51" s="330">
        <f>'Inndata Bygg'!E54</f>
        <v>0</v>
      </c>
      <c r="G51" s="330">
        <f>IF('Inndata Bygg'!AB54="Ja", -0.8*'Resultater detaljert Bygg'!F51, 0)</f>
        <v>0</v>
      </c>
      <c r="H51" s="330">
        <f>IF('Inndata Bygg'!AC54="Ja", -0.4*'Resultater detaljert Bygg'!$F51, 0)</f>
        <v>0</v>
      </c>
      <c r="I51" s="330">
        <f>IF('Inndata Bygg'!AD54="Ja", -1*'Resultater detaljert Bygg'!$F51, 0)</f>
        <v>0</v>
      </c>
      <c r="J51" s="330">
        <f>'Inndata Bygg'!O54*'Inndata Bygg'!P54</f>
        <v>0</v>
      </c>
      <c r="K51" s="330">
        <f>MAX(-0.75*(SUM('Resultater detaljert Bygg'!F51:J51)),-'Inndata Bygg'!O54*'Inndata Bygg'!Q54)</f>
        <v>0</v>
      </c>
      <c r="L51" s="330">
        <f>'Inndata Bygg'!S54*'Inndata Bygg'!T54</f>
        <v>0</v>
      </c>
      <c r="M51" s="330">
        <f>MAX(-0.75*(SUM('Resultater detaljert Bygg'!F51:I51,L51)),-'Inndata Bygg'!S54*'Inndata Bygg'!U54)</f>
        <v>0</v>
      </c>
      <c r="N51" s="331">
        <f>'Inndata Bygg'!F54</f>
        <v>0</v>
      </c>
      <c r="O51" s="330">
        <f>'Inndata Bygg'!O54*'Inndata Bygg'!R54</f>
        <v>0</v>
      </c>
      <c r="P51" s="332">
        <f>'Inndata Bygg'!S54*'Inndata Bygg'!V54</f>
        <v>0</v>
      </c>
      <c r="Q51" s="493">
        <f>SUM(F51:J51,L51)*'Inndata Bygg'!K54</f>
        <v>0</v>
      </c>
      <c r="R51" s="333">
        <f>(K51+M51)*'Inndata Bygg'!K54</f>
        <v>0</v>
      </c>
      <c r="S51" s="493">
        <f>N51*'Inndata Bygg'!K54</f>
        <v>0</v>
      </c>
      <c r="T51" s="494">
        <f>'Inndata Bygg'!G54*'Inndata Bygg'!K54*Transport_utslipp_til_avfallshånderting_per_kg</f>
        <v>0</v>
      </c>
      <c r="U51" s="330">
        <f>IF('Inndata Bygg'!E54 = 0, 0, 1.833*'Inndata Bygg'!X54*'Inndata Bygg'!K54*('Inndata Bygg'!G54*('Inndata Bygg'!L54*0.5+'Inndata Bygg'!M54*0.8) + (12/44)*('Inndata Bygg'!O54*'Inndata Bygg'!Q54+'Inndata Bygg'!S54*'Inndata Bygg'!U54)))</f>
        <v>0</v>
      </c>
      <c r="V51" s="335" cm="1">
        <f t="array" ref="V51">CalculateBiogenicCarbonUptake('ZERO-B Beregning'!$D$17,'Inndata Bygg'!H54,'Inndata Bygg'!G54,'Inndata Bygg'!L54,F51,AB51,AC51,AD51)</f>
        <v>0</v>
      </c>
      <c r="W51" s="576" cm="1">
        <f t="array" ref="W51">CalculateCementCarbonUptake('ZERO-B Beregning'!$D$17,'Inndata Bygg'!H54,'Inndata Bygg'!G54,'Inndata Bygg'!N54)</f>
        <v>0</v>
      </c>
      <c r="X51" s="331" cm="1">
        <f t="array" ref="X51">IF(SUM(F51:J51,L51)=0, 0, SUM(F51:J51,L51)*(1+'Inndata Bygg'!K54)*IF('Inndata Bygg'!H54&gt;50, 0, _xlfn.XLOOKUP('Inndata Bygg'!H54, År_etter_ferdigstillelse, IF(VALUE(LEFT('Inndata Bygg'!B54, 2))= 49, f_tid_x_f_tek_d_0_037_kumulativ, f_tid_x_f_tek_d_0_01_kumulativ))))</f>
        <v>0</v>
      </c>
      <c r="Y51" s="330">
        <f>IF(X51=0, 0, SUM(K51,M51)*(1+'Inndata Bygg'!K54)*IF('Inndata Bygg'!H54&gt;50, 0, _xlfn.XLOOKUP('Inndata Bygg'!H54, År_etter_ferdigstillelse, f_tid_x_f_tek_d_0_01_kumulativ)))</f>
        <v>0</v>
      </c>
      <c r="Z51" s="336">
        <f>IF(X51=0, 0, SUM(N51:P51)*(1+'Inndata Bygg'!K54)*IF('Inndata Bygg'!H54&gt;50, 0, _xlfn.XLOOKUP('Inndata Bygg'!H54, År_etter_ferdigstillelse, f_tid_x_f_tek_d_0_01_kumulativ)))</f>
        <v>0</v>
      </c>
      <c r="AA51" s="336">
        <f>IF(X51=0, 0, ('Inndata Bygg'!G54+'Inndata Bygg'!O54+'Inndata Bygg'!S54)*(1+'Inndata Bygg'!K54)*Transport_utslipp_til_avfallshånderting_per_kg*IF('Inndata Bygg'!H54&gt;50, 0, _xlfn.XLOOKUP('Inndata Bygg'!H54, År_etter_ferdigstillelse, f_tid_x_f_tek_d_0_01_kumulativ)))</f>
        <v>0</v>
      </c>
      <c r="AB51" s="580" cm="1">
        <f t="array" ref="AB51">CalculateEmissionsFromIncinerationOfWaste('ZERO-B Beregning'!$D$17,'Inndata Bygg'!H54,'Inndata Bygg'!G54,'Inndata Bygg'!X54,'Inndata Bygg'!L54,'Inndata Bygg'!M54,'Inndata Bygg'!B54)</f>
        <v>0</v>
      </c>
      <c r="AC51" s="335">
        <f>IF(('Inndata Bygg'!G54+'Inndata Bygg'!O54+'Inndata Bygg'!S54) = 0, 0,('Inndata Bygg'!G54+'Inndata Bygg'!O54+'Inndata Bygg'!S54)*(('Inndata Bygg'!X54+'Inndata Bygg'!Y54+'Inndata Bygg'!AA54)*Transport_utslipp_til_avfallshånderting_per_kg+('Inndata Bygg'!Z54*'ZERO-B Beregning'!D153/1000)*IF('ZERO-B Beregning'!F154=0,'ZERO-B Beregning'!D154,'ZERO-B Beregning'!F154))*_xlfn.XLOOKUP(51, År_etter_ferdigstillelse, f_tid_x_f_tek_d_0_01))</f>
        <v>0</v>
      </c>
      <c r="AD51" s="577">
        <f>IF(('Inndata Bygg'!G54+'Inndata Bygg'!O54+'Inndata Bygg'!S54) = 0, 0,1.833*('Inndata Bygg'!G54*('Inndata Bygg'!L54*0.5+'Inndata Bygg'!M54*0.8)+'Inndata Bygg'!O54*'Inndata Bygg'!Q54+'Inndata Bygg'!S54*'Inndata Bygg'!U54)*AG51*_xlfn.XLOOKUP(51, År_etter_ferdigstillelse,  f_tid_x_f_tek_d_0_01))</f>
        <v>0</v>
      </c>
      <c r="AE51" s="575" cm="1">
        <f t="array" ref="AE51">CalculateEmissionsReductionFromReuse('ZERO-B Beregning'!$D$17,'Inndata Bygg'!H54,'Inndata Bygg'!G54,'Inndata Bygg'!Z54,'Inndata Bygg'!X54,'Inndata Bygg'!Y54,F51,'Inndata Bygg'!B54)</f>
        <v>0</v>
      </c>
      <c r="AF51" s="333" cm="1">
        <f t="array" ref="AF51">CalculateEmissionReductionFromRecycling('ZERO-B Beregning'!$D$17,'Inndata Bygg'!H54,'Inndata Bygg'!G54,'Inndata Bygg'!AA54,'Inndata Bygg'!X54,'Inndata Bygg'!Y54,F51,'Inndata Bygg'!B54)</f>
        <v>0</v>
      </c>
      <c r="AG51" s="572">
        <f>IF(('Inndata Bygg'!G54+'Inndata Bygg'!O54+'Inndata Bygg'!S54) = 0, 0,'Inndata Bygg'!X54*Faktorer!$Z$58)</f>
        <v>0</v>
      </c>
      <c r="AH51" s="573">
        <f>IF(('Inndata Bygg'!G54+'Inndata Bygg'!O54+'Inndata Bygg'!S54) = 0, 0,'Inndata Bygg'!Z54+('Inndata Bygg'!X54+'Inndata Bygg'!Y54)*(1-Faktorer!$Z$58)*0.5)</f>
        <v>0</v>
      </c>
      <c r="AI51" s="574">
        <f>IF(('Inndata Bygg'!G54+'Inndata Bygg'!O54+'Inndata Bygg'!S54) = 0, 0,'Inndata Bygg'!AA54+('Inndata Bygg'!X54+'Inndata Bygg'!Y54)*(1-Faktorer!$Z$58)*0.5)</f>
        <v>0</v>
      </c>
      <c r="AJ51" s="634"/>
      <c r="AK51" s="90">
        <f t="shared" si="2"/>
        <v>0</v>
      </c>
      <c r="AL51" s="91">
        <f>'Resultater detaljert Bygg'!N51</f>
        <v>0</v>
      </c>
      <c r="AM51" s="91" t="str">
        <f>IF(F51=0,"",('Inndata Bygg'!E54+'Inndata Bygg'!F54)*ROUNDDOWN('Inndata Bygg'!I54,0)*(1+'Inndata Bygg'!K54))</f>
        <v/>
      </c>
    </row>
    <row r="52" spans="2:39">
      <c r="B52" s="339">
        <f>'Inndata Bygg'!B55</f>
        <v>0</v>
      </c>
      <c r="C52" s="340">
        <f>'Inndata Bygg'!C55</f>
        <v>0</v>
      </c>
      <c r="D52" s="341">
        <f>'Inndata Bygg'!D55</f>
        <v>0</v>
      </c>
      <c r="E52" s="421" cm="1">
        <f t="array" ref="E52">SUM(IFERROR(F52:AD52,0))</f>
        <v>0</v>
      </c>
      <c r="F52" s="330">
        <f>'Inndata Bygg'!E55</f>
        <v>0</v>
      </c>
      <c r="G52" s="330">
        <f>IF('Inndata Bygg'!AB55="Ja", -0.8*'Resultater detaljert Bygg'!F52, 0)</f>
        <v>0</v>
      </c>
      <c r="H52" s="330">
        <f>IF('Inndata Bygg'!AC55="Ja", -0.4*'Resultater detaljert Bygg'!$F52, 0)</f>
        <v>0</v>
      </c>
      <c r="I52" s="330">
        <f>IF('Inndata Bygg'!AD55="Ja", -1*'Resultater detaljert Bygg'!$F52, 0)</f>
        <v>0</v>
      </c>
      <c r="J52" s="330">
        <f>'Inndata Bygg'!O55*'Inndata Bygg'!P55</f>
        <v>0</v>
      </c>
      <c r="K52" s="330">
        <f>MAX(-0.75*(SUM('Resultater detaljert Bygg'!F52:J52)),-'Inndata Bygg'!O55*'Inndata Bygg'!Q55)</f>
        <v>0</v>
      </c>
      <c r="L52" s="330">
        <f>'Inndata Bygg'!S55*'Inndata Bygg'!T55</f>
        <v>0</v>
      </c>
      <c r="M52" s="330">
        <f>MAX(-0.75*(SUM('Resultater detaljert Bygg'!F52:I52,L52)),-'Inndata Bygg'!S55*'Inndata Bygg'!U55)</f>
        <v>0</v>
      </c>
      <c r="N52" s="331">
        <f>'Inndata Bygg'!F55</f>
        <v>0</v>
      </c>
      <c r="O52" s="330">
        <f>'Inndata Bygg'!O55*'Inndata Bygg'!R55</f>
        <v>0</v>
      </c>
      <c r="P52" s="332">
        <f>'Inndata Bygg'!S55*'Inndata Bygg'!V55</f>
        <v>0</v>
      </c>
      <c r="Q52" s="493">
        <f>SUM(F52:J52,L52)*'Inndata Bygg'!K55</f>
        <v>0</v>
      </c>
      <c r="R52" s="333">
        <f>(K52+M52)*'Inndata Bygg'!K55</f>
        <v>0</v>
      </c>
      <c r="S52" s="493">
        <f>N52*'Inndata Bygg'!K55</f>
        <v>0</v>
      </c>
      <c r="T52" s="494">
        <f>'Inndata Bygg'!G55*'Inndata Bygg'!K55*Transport_utslipp_til_avfallshånderting_per_kg</f>
        <v>0</v>
      </c>
      <c r="U52" s="330">
        <f>IF('Inndata Bygg'!E55 = 0, 0, 1.833*'Inndata Bygg'!X55*'Inndata Bygg'!K55*('Inndata Bygg'!G55*('Inndata Bygg'!L55*0.5+'Inndata Bygg'!M55*0.8) + (12/44)*('Inndata Bygg'!O55*'Inndata Bygg'!Q55+'Inndata Bygg'!S55*'Inndata Bygg'!U55)))</f>
        <v>0</v>
      </c>
      <c r="V52" s="335" cm="1">
        <f t="array" ref="V52">CalculateBiogenicCarbonUptake('ZERO-B Beregning'!$D$17,'Inndata Bygg'!H55,'Inndata Bygg'!G55,'Inndata Bygg'!L55,F52,AB52,AC52,AD52)</f>
        <v>0</v>
      </c>
      <c r="W52" s="576" cm="1">
        <f t="array" ref="W52">CalculateCementCarbonUptake('ZERO-B Beregning'!$D$17,'Inndata Bygg'!H55,'Inndata Bygg'!G55,'Inndata Bygg'!N55)</f>
        <v>0</v>
      </c>
      <c r="X52" s="331" cm="1">
        <f t="array" ref="X52">IF(SUM(F52:J52,L52)=0, 0, SUM(F52:J52,L52)*(1+'Inndata Bygg'!K55)*IF('Inndata Bygg'!H55&gt;50, 0, _xlfn.XLOOKUP('Inndata Bygg'!H55, År_etter_ferdigstillelse, IF(VALUE(LEFT('Inndata Bygg'!B55, 2))= 49, f_tid_x_f_tek_d_0_037_kumulativ, f_tid_x_f_tek_d_0_01_kumulativ))))</f>
        <v>0</v>
      </c>
      <c r="Y52" s="330">
        <f>IF(X52=0, 0, SUM(K52,M52)*(1+'Inndata Bygg'!K55)*IF('Inndata Bygg'!H55&gt;50, 0, _xlfn.XLOOKUP('Inndata Bygg'!H55, År_etter_ferdigstillelse, f_tid_x_f_tek_d_0_01_kumulativ)))</f>
        <v>0</v>
      </c>
      <c r="Z52" s="336">
        <f>IF(X52=0, 0, SUM(N52:P52)*(1+'Inndata Bygg'!K55)*IF('Inndata Bygg'!H55&gt;50, 0, _xlfn.XLOOKUP('Inndata Bygg'!H55, År_etter_ferdigstillelse, f_tid_x_f_tek_d_0_01_kumulativ)))</f>
        <v>0</v>
      </c>
      <c r="AA52" s="336">
        <f>IF(X52=0, 0, ('Inndata Bygg'!G55+'Inndata Bygg'!O55+'Inndata Bygg'!S55)*(1+'Inndata Bygg'!K55)*Transport_utslipp_til_avfallshånderting_per_kg*IF('Inndata Bygg'!H55&gt;50, 0, _xlfn.XLOOKUP('Inndata Bygg'!H55, År_etter_ferdigstillelse, f_tid_x_f_tek_d_0_01_kumulativ)))</f>
        <v>0</v>
      </c>
      <c r="AB52" s="580" cm="1">
        <f t="array" ref="AB52">CalculateEmissionsFromIncinerationOfWaste('ZERO-B Beregning'!$D$17,'Inndata Bygg'!H55,'Inndata Bygg'!G55,'Inndata Bygg'!X55,'Inndata Bygg'!L55,'Inndata Bygg'!M55,'Inndata Bygg'!B55)</f>
        <v>0</v>
      </c>
      <c r="AC52" s="335">
        <f>IF(('Inndata Bygg'!G55+'Inndata Bygg'!O55+'Inndata Bygg'!S55) = 0, 0,('Inndata Bygg'!G55+'Inndata Bygg'!O55+'Inndata Bygg'!S55)*(('Inndata Bygg'!X55+'Inndata Bygg'!Y55+'Inndata Bygg'!AA55)*Transport_utslipp_til_avfallshånderting_per_kg+('Inndata Bygg'!Z55*'ZERO-B Beregning'!D154/1000)*IF('ZERO-B Beregning'!F155=0,'ZERO-B Beregning'!D155,'ZERO-B Beregning'!F155))*_xlfn.XLOOKUP(51, År_etter_ferdigstillelse, f_tid_x_f_tek_d_0_01))</f>
        <v>0</v>
      </c>
      <c r="AD52" s="577">
        <f>IF(('Inndata Bygg'!G55+'Inndata Bygg'!O55+'Inndata Bygg'!S55) = 0, 0,1.833*('Inndata Bygg'!G55*('Inndata Bygg'!L55*0.5+'Inndata Bygg'!M55*0.8)+'Inndata Bygg'!O55*'Inndata Bygg'!Q55+'Inndata Bygg'!S55*'Inndata Bygg'!U55)*AG52*_xlfn.XLOOKUP(51, År_etter_ferdigstillelse,  f_tid_x_f_tek_d_0_01))</f>
        <v>0</v>
      </c>
      <c r="AE52" s="575" cm="1">
        <f t="array" ref="AE52">CalculateEmissionsReductionFromReuse('ZERO-B Beregning'!$D$17,'Inndata Bygg'!H55,'Inndata Bygg'!G55,'Inndata Bygg'!Z55,'Inndata Bygg'!X55,'Inndata Bygg'!Y55,F52,'Inndata Bygg'!B55)</f>
        <v>0</v>
      </c>
      <c r="AF52" s="333" cm="1">
        <f t="array" ref="AF52">CalculateEmissionReductionFromRecycling('ZERO-B Beregning'!$D$17,'Inndata Bygg'!H55,'Inndata Bygg'!G55,'Inndata Bygg'!AA55,'Inndata Bygg'!X55,'Inndata Bygg'!Y55,F52,'Inndata Bygg'!B55)</f>
        <v>0</v>
      </c>
      <c r="AG52" s="572">
        <f>IF(('Inndata Bygg'!G55+'Inndata Bygg'!O55+'Inndata Bygg'!S55) = 0, 0,'Inndata Bygg'!X55*Faktorer!$Z$58)</f>
        <v>0</v>
      </c>
      <c r="AH52" s="573">
        <f>IF(('Inndata Bygg'!G55+'Inndata Bygg'!O55+'Inndata Bygg'!S55) = 0, 0,'Inndata Bygg'!Z55+('Inndata Bygg'!X55+'Inndata Bygg'!Y55)*(1-Faktorer!$Z$58)*0.5)</f>
        <v>0</v>
      </c>
      <c r="AI52" s="574">
        <f>IF(('Inndata Bygg'!G55+'Inndata Bygg'!O55+'Inndata Bygg'!S55) = 0, 0,'Inndata Bygg'!AA55+('Inndata Bygg'!X55+'Inndata Bygg'!Y55)*(1-Faktorer!$Z$58)*0.5)</f>
        <v>0</v>
      </c>
      <c r="AJ52" s="634"/>
      <c r="AK52" s="90">
        <f t="shared" si="2"/>
        <v>0</v>
      </c>
      <c r="AL52" s="91">
        <f>'Resultater detaljert Bygg'!N52</f>
        <v>0</v>
      </c>
      <c r="AM52" s="91" t="str">
        <f>IF(F52=0,"",('Inndata Bygg'!E55+'Inndata Bygg'!F55)*ROUNDDOWN('Inndata Bygg'!I55,0)*(1+'Inndata Bygg'!K55))</f>
        <v/>
      </c>
    </row>
    <row r="53" spans="2:39">
      <c r="B53" s="339">
        <f>'Inndata Bygg'!B56</f>
        <v>0</v>
      </c>
      <c r="C53" s="340">
        <f>'Inndata Bygg'!C56</f>
        <v>0</v>
      </c>
      <c r="D53" s="341">
        <f>'Inndata Bygg'!D56</f>
        <v>0</v>
      </c>
      <c r="E53" s="421" cm="1">
        <f t="array" ref="E53">SUM(IFERROR(F53:AD53,0))</f>
        <v>0</v>
      </c>
      <c r="F53" s="330">
        <f>'Inndata Bygg'!E56</f>
        <v>0</v>
      </c>
      <c r="G53" s="330">
        <f>IF('Inndata Bygg'!AB56="Ja", -0.8*'Resultater detaljert Bygg'!F53, 0)</f>
        <v>0</v>
      </c>
      <c r="H53" s="330">
        <f>IF('Inndata Bygg'!AC56="Ja", -0.4*'Resultater detaljert Bygg'!$F53, 0)</f>
        <v>0</v>
      </c>
      <c r="I53" s="330">
        <f>IF('Inndata Bygg'!AD56="Ja", -1*'Resultater detaljert Bygg'!$F53, 0)</f>
        <v>0</v>
      </c>
      <c r="J53" s="330">
        <f>'Inndata Bygg'!O56*'Inndata Bygg'!P56</f>
        <v>0</v>
      </c>
      <c r="K53" s="330">
        <f>MAX(-0.75*(SUM('Resultater detaljert Bygg'!F53:J53)),-'Inndata Bygg'!O56*'Inndata Bygg'!Q56)</f>
        <v>0</v>
      </c>
      <c r="L53" s="330">
        <f>'Inndata Bygg'!S56*'Inndata Bygg'!T56</f>
        <v>0</v>
      </c>
      <c r="M53" s="330">
        <f>MAX(-0.75*(SUM('Resultater detaljert Bygg'!F53:I53,L53)),-'Inndata Bygg'!S56*'Inndata Bygg'!U56)</f>
        <v>0</v>
      </c>
      <c r="N53" s="331">
        <f>'Inndata Bygg'!F56</f>
        <v>0</v>
      </c>
      <c r="O53" s="330">
        <f>'Inndata Bygg'!O56*'Inndata Bygg'!R56</f>
        <v>0</v>
      </c>
      <c r="P53" s="332">
        <f>'Inndata Bygg'!S56*'Inndata Bygg'!V56</f>
        <v>0</v>
      </c>
      <c r="Q53" s="493">
        <f>SUM(F53:J53,L53)*'Inndata Bygg'!K56</f>
        <v>0</v>
      </c>
      <c r="R53" s="333">
        <f>(K53+M53)*'Inndata Bygg'!K56</f>
        <v>0</v>
      </c>
      <c r="S53" s="493">
        <f>N53*'Inndata Bygg'!K56</f>
        <v>0</v>
      </c>
      <c r="T53" s="494">
        <f>'Inndata Bygg'!G56*'Inndata Bygg'!K56*Transport_utslipp_til_avfallshånderting_per_kg</f>
        <v>0</v>
      </c>
      <c r="U53" s="330">
        <f>IF('Inndata Bygg'!E56 = 0, 0, 1.833*'Inndata Bygg'!X56*'Inndata Bygg'!K56*('Inndata Bygg'!G56*('Inndata Bygg'!L56*0.5+'Inndata Bygg'!M56*0.8) + (12/44)*('Inndata Bygg'!O56*'Inndata Bygg'!Q56+'Inndata Bygg'!S56*'Inndata Bygg'!U56)))</f>
        <v>0</v>
      </c>
      <c r="V53" s="335" cm="1">
        <f t="array" ref="V53">CalculateBiogenicCarbonUptake('ZERO-B Beregning'!$D$17,'Inndata Bygg'!H56,'Inndata Bygg'!G56,'Inndata Bygg'!L56,F53,AB53,AC53,AD53)</f>
        <v>0</v>
      </c>
      <c r="W53" s="576" cm="1">
        <f t="array" ref="W53">CalculateCementCarbonUptake('ZERO-B Beregning'!$D$17,'Inndata Bygg'!H56,'Inndata Bygg'!G56,'Inndata Bygg'!N56)</f>
        <v>0</v>
      </c>
      <c r="X53" s="331" cm="1">
        <f t="array" ref="X53">IF(SUM(F53:J53,L53)=0, 0, SUM(F53:J53,L53)*(1+'Inndata Bygg'!K56)*IF('Inndata Bygg'!H56&gt;50, 0, _xlfn.XLOOKUP('Inndata Bygg'!H56, År_etter_ferdigstillelse, IF(VALUE(LEFT('Inndata Bygg'!B56, 2))= 49, f_tid_x_f_tek_d_0_037_kumulativ, f_tid_x_f_tek_d_0_01_kumulativ))))</f>
        <v>0</v>
      </c>
      <c r="Y53" s="330">
        <f>IF(X53=0, 0, SUM(K53,M53)*(1+'Inndata Bygg'!K56)*IF('Inndata Bygg'!H56&gt;50, 0, _xlfn.XLOOKUP('Inndata Bygg'!H56, År_etter_ferdigstillelse, f_tid_x_f_tek_d_0_01_kumulativ)))</f>
        <v>0</v>
      </c>
      <c r="Z53" s="336">
        <f>IF(X53=0, 0, SUM(N53:P53)*(1+'Inndata Bygg'!K56)*IF('Inndata Bygg'!H56&gt;50, 0, _xlfn.XLOOKUP('Inndata Bygg'!H56, År_etter_ferdigstillelse, f_tid_x_f_tek_d_0_01_kumulativ)))</f>
        <v>0</v>
      </c>
      <c r="AA53" s="336">
        <f>IF(X53=0, 0, ('Inndata Bygg'!G56+'Inndata Bygg'!O56+'Inndata Bygg'!S56)*(1+'Inndata Bygg'!K56)*Transport_utslipp_til_avfallshånderting_per_kg*IF('Inndata Bygg'!H56&gt;50, 0, _xlfn.XLOOKUP('Inndata Bygg'!H56, År_etter_ferdigstillelse, f_tid_x_f_tek_d_0_01_kumulativ)))</f>
        <v>0</v>
      </c>
      <c r="AB53" s="580" cm="1">
        <f t="array" ref="AB53">CalculateEmissionsFromIncinerationOfWaste('ZERO-B Beregning'!$D$17,'Inndata Bygg'!H56,'Inndata Bygg'!G56,'Inndata Bygg'!X56,'Inndata Bygg'!L56,'Inndata Bygg'!M56,'Inndata Bygg'!B56)</f>
        <v>0</v>
      </c>
      <c r="AC53" s="335">
        <f>IF(('Inndata Bygg'!G56+'Inndata Bygg'!O56+'Inndata Bygg'!S56) = 0, 0,('Inndata Bygg'!G56+'Inndata Bygg'!O56+'Inndata Bygg'!S56)*(('Inndata Bygg'!X56+'Inndata Bygg'!Y56+'Inndata Bygg'!AA56)*Transport_utslipp_til_avfallshånderting_per_kg+('Inndata Bygg'!Z56*'ZERO-B Beregning'!D155/1000)*IF('ZERO-B Beregning'!F156=0,'ZERO-B Beregning'!D156,'ZERO-B Beregning'!F156))*_xlfn.XLOOKUP(51, År_etter_ferdigstillelse, f_tid_x_f_tek_d_0_01))</f>
        <v>0</v>
      </c>
      <c r="AD53" s="577">
        <f>IF(('Inndata Bygg'!G56+'Inndata Bygg'!O56+'Inndata Bygg'!S56) = 0, 0,1.833*('Inndata Bygg'!G56*('Inndata Bygg'!L56*0.5+'Inndata Bygg'!M56*0.8)+'Inndata Bygg'!O56*'Inndata Bygg'!Q56+'Inndata Bygg'!S56*'Inndata Bygg'!U56)*AG53*_xlfn.XLOOKUP(51, År_etter_ferdigstillelse,  f_tid_x_f_tek_d_0_01))</f>
        <v>0</v>
      </c>
      <c r="AE53" s="575" cm="1">
        <f t="array" ref="AE53">CalculateEmissionsReductionFromReuse('ZERO-B Beregning'!$D$17,'Inndata Bygg'!H56,'Inndata Bygg'!G56,'Inndata Bygg'!Z56,'Inndata Bygg'!X56,'Inndata Bygg'!Y56,F53,'Inndata Bygg'!B56)</f>
        <v>0</v>
      </c>
      <c r="AF53" s="333" cm="1">
        <f t="array" ref="AF53">CalculateEmissionReductionFromRecycling('ZERO-B Beregning'!$D$17,'Inndata Bygg'!H56,'Inndata Bygg'!G56,'Inndata Bygg'!AA56,'Inndata Bygg'!X56,'Inndata Bygg'!Y56,F53,'Inndata Bygg'!B56)</f>
        <v>0</v>
      </c>
      <c r="AG53" s="572">
        <f>IF(('Inndata Bygg'!G56+'Inndata Bygg'!O56+'Inndata Bygg'!S56) = 0, 0,'Inndata Bygg'!X56*Faktorer!$Z$58)</f>
        <v>0</v>
      </c>
      <c r="AH53" s="573">
        <f>IF(('Inndata Bygg'!G56+'Inndata Bygg'!O56+'Inndata Bygg'!S56) = 0, 0,'Inndata Bygg'!Z56+('Inndata Bygg'!X56+'Inndata Bygg'!Y56)*(1-Faktorer!$Z$58)*0.5)</f>
        <v>0</v>
      </c>
      <c r="AI53" s="574">
        <f>IF(('Inndata Bygg'!G56+'Inndata Bygg'!O56+'Inndata Bygg'!S56) = 0, 0,'Inndata Bygg'!AA56+('Inndata Bygg'!X56+'Inndata Bygg'!Y56)*(1-Faktorer!$Z$58)*0.5)</f>
        <v>0</v>
      </c>
      <c r="AJ53" s="634"/>
      <c r="AK53" s="90">
        <f t="shared" si="2"/>
        <v>0</v>
      </c>
      <c r="AL53" s="91">
        <f>'Resultater detaljert Bygg'!N53</f>
        <v>0</v>
      </c>
      <c r="AM53" s="91" t="str">
        <f>IF(F53=0,"",('Inndata Bygg'!E56+'Inndata Bygg'!F56)*ROUNDDOWN('Inndata Bygg'!I56,0)*(1+'Inndata Bygg'!K56))</f>
        <v/>
      </c>
    </row>
    <row r="54" spans="2:39">
      <c r="B54" s="339">
        <f>'Inndata Bygg'!B57</f>
        <v>0</v>
      </c>
      <c r="C54" s="340">
        <f>'Inndata Bygg'!C57</f>
        <v>0</v>
      </c>
      <c r="D54" s="341">
        <f>'Inndata Bygg'!D57</f>
        <v>0</v>
      </c>
      <c r="E54" s="421" cm="1">
        <f t="array" ref="E54">SUM(IFERROR(F54:AD54,0))</f>
        <v>0</v>
      </c>
      <c r="F54" s="330">
        <f>'Inndata Bygg'!E57</f>
        <v>0</v>
      </c>
      <c r="G54" s="330">
        <f>IF('Inndata Bygg'!AB57="Ja", -0.8*'Resultater detaljert Bygg'!F54, 0)</f>
        <v>0</v>
      </c>
      <c r="H54" s="330">
        <f>IF('Inndata Bygg'!AC57="Ja", -0.4*'Resultater detaljert Bygg'!$F54, 0)</f>
        <v>0</v>
      </c>
      <c r="I54" s="330">
        <f>IF('Inndata Bygg'!AD57="Ja", -1*'Resultater detaljert Bygg'!$F54, 0)</f>
        <v>0</v>
      </c>
      <c r="J54" s="330">
        <f>'Inndata Bygg'!O57*'Inndata Bygg'!P57</f>
        <v>0</v>
      </c>
      <c r="K54" s="330">
        <f>MAX(-0.75*(SUM('Resultater detaljert Bygg'!F54:J54)),-'Inndata Bygg'!O57*'Inndata Bygg'!Q57)</f>
        <v>0</v>
      </c>
      <c r="L54" s="330">
        <f>'Inndata Bygg'!S57*'Inndata Bygg'!T57</f>
        <v>0</v>
      </c>
      <c r="M54" s="330">
        <f>MAX(-0.75*(SUM('Resultater detaljert Bygg'!F54:I54,L54)),-'Inndata Bygg'!S57*'Inndata Bygg'!U57)</f>
        <v>0</v>
      </c>
      <c r="N54" s="331">
        <f>'Inndata Bygg'!F57</f>
        <v>0</v>
      </c>
      <c r="O54" s="330">
        <f>'Inndata Bygg'!O57*'Inndata Bygg'!R57</f>
        <v>0</v>
      </c>
      <c r="P54" s="332">
        <f>'Inndata Bygg'!S57*'Inndata Bygg'!V57</f>
        <v>0</v>
      </c>
      <c r="Q54" s="493">
        <f>SUM(F54:J54,L54)*'Inndata Bygg'!K57</f>
        <v>0</v>
      </c>
      <c r="R54" s="333">
        <f>(K54+M54)*'Inndata Bygg'!K57</f>
        <v>0</v>
      </c>
      <c r="S54" s="493">
        <f>N54*'Inndata Bygg'!K57</f>
        <v>0</v>
      </c>
      <c r="T54" s="494">
        <f>'Inndata Bygg'!G57*'Inndata Bygg'!K57*Transport_utslipp_til_avfallshånderting_per_kg</f>
        <v>0</v>
      </c>
      <c r="U54" s="330">
        <f>IF('Inndata Bygg'!E57 = 0, 0, 1.833*'Inndata Bygg'!X57*'Inndata Bygg'!K57*('Inndata Bygg'!G57*('Inndata Bygg'!L57*0.5+'Inndata Bygg'!M57*0.8) + (12/44)*('Inndata Bygg'!O57*'Inndata Bygg'!Q57+'Inndata Bygg'!S57*'Inndata Bygg'!U57)))</f>
        <v>0</v>
      </c>
      <c r="V54" s="335" cm="1">
        <f t="array" ref="V54">CalculateBiogenicCarbonUptake('ZERO-B Beregning'!$D$17,'Inndata Bygg'!H57,'Inndata Bygg'!G57,'Inndata Bygg'!L57,F54,AB54,AC54,AD54)</f>
        <v>0</v>
      </c>
      <c r="W54" s="576" cm="1">
        <f t="array" ref="W54">CalculateCementCarbonUptake('ZERO-B Beregning'!$D$17,'Inndata Bygg'!H57,'Inndata Bygg'!G57,'Inndata Bygg'!N57)</f>
        <v>0</v>
      </c>
      <c r="X54" s="331" cm="1">
        <f t="array" ref="X54">IF(SUM(F54:J54,L54)=0, 0, SUM(F54:J54,L54)*(1+'Inndata Bygg'!K57)*IF('Inndata Bygg'!H57&gt;50, 0, _xlfn.XLOOKUP('Inndata Bygg'!H57, År_etter_ferdigstillelse, IF(VALUE(LEFT('Inndata Bygg'!B57, 2))= 49, f_tid_x_f_tek_d_0_037_kumulativ, f_tid_x_f_tek_d_0_01_kumulativ))))</f>
        <v>0</v>
      </c>
      <c r="Y54" s="330">
        <f>IF(X54=0, 0, SUM(K54,M54)*(1+'Inndata Bygg'!K57)*IF('Inndata Bygg'!H57&gt;50, 0, _xlfn.XLOOKUP('Inndata Bygg'!H57, År_etter_ferdigstillelse, f_tid_x_f_tek_d_0_01_kumulativ)))</f>
        <v>0</v>
      </c>
      <c r="Z54" s="336">
        <f>IF(X54=0, 0, SUM(N54:P54)*(1+'Inndata Bygg'!K57)*IF('Inndata Bygg'!H57&gt;50, 0, _xlfn.XLOOKUP('Inndata Bygg'!H57, År_etter_ferdigstillelse, f_tid_x_f_tek_d_0_01_kumulativ)))</f>
        <v>0</v>
      </c>
      <c r="AA54" s="336">
        <f>IF(X54=0, 0, ('Inndata Bygg'!G57+'Inndata Bygg'!O57+'Inndata Bygg'!S57)*(1+'Inndata Bygg'!K57)*Transport_utslipp_til_avfallshånderting_per_kg*IF('Inndata Bygg'!H57&gt;50, 0, _xlfn.XLOOKUP('Inndata Bygg'!H57, År_etter_ferdigstillelse, f_tid_x_f_tek_d_0_01_kumulativ)))</f>
        <v>0</v>
      </c>
      <c r="AB54" s="580" cm="1">
        <f t="array" ref="AB54">CalculateEmissionsFromIncinerationOfWaste('ZERO-B Beregning'!$D$17,'Inndata Bygg'!H57,'Inndata Bygg'!G57,'Inndata Bygg'!X57,'Inndata Bygg'!L57,'Inndata Bygg'!M57,'Inndata Bygg'!B57)</f>
        <v>0</v>
      </c>
      <c r="AC54" s="335">
        <f>IF(('Inndata Bygg'!G57+'Inndata Bygg'!O57+'Inndata Bygg'!S57) = 0, 0,('Inndata Bygg'!G57+'Inndata Bygg'!O57+'Inndata Bygg'!S57)*(('Inndata Bygg'!X57+'Inndata Bygg'!Y57+'Inndata Bygg'!AA57)*Transport_utslipp_til_avfallshånderting_per_kg+('Inndata Bygg'!Z57*'ZERO-B Beregning'!D156/1000)*IF('ZERO-B Beregning'!F157=0,'ZERO-B Beregning'!D157,'ZERO-B Beregning'!F157))*_xlfn.XLOOKUP(51, År_etter_ferdigstillelse, f_tid_x_f_tek_d_0_01))</f>
        <v>0</v>
      </c>
      <c r="AD54" s="577">
        <f>IF(('Inndata Bygg'!G57+'Inndata Bygg'!O57+'Inndata Bygg'!S57) = 0, 0,1.833*('Inndata Bygg'!G57*('Inndata Bygg'!L57*0.5+'Inndata Bygg'!M57*0.8)+'Inndata Bygg'!O57*'Inndata Bygg'!Q57+'Inndata Bygg'!S57*'Inndata Bygg'!U57)*AG54*_xlfn.XLOOKUP(51, År_etter_ferdigstillelse,  f_tid_x_f_tek_d_0_01))</f>
        <v>0</v>
      </c>
      <c r="AE54" s="575" cm="1">
        <f t="array" ref="AE54">CalculateEmissionsReductionFromReuse('ZERO-B Beregning'!$D$17,'Inndata Bygg'!H57,'Inndata Bygg'!G57,'Inndata Bygg'!Z57,'Inndata Bygg'!X57,'Inndata Bygg'!Y57,F54,'Inndata Bygg'!B57)</f>
        <v>0</v>
      </c>
      <c r="AF54" s="333" cm="1">
        <f t="array" ref="AF54">CalculateEmissionReductionFromRecycling('ZERO-B Beregning'!$D$17,'Inndata Bygg'!H57,'Inndata Bygg'!G57,'Inndata Bygg'!AA57,'Inndata Bygg'!X57,'Inndata Bygg'!Y57,F54,'Inndata Bygg'!B57)</f>
        <v>0</v>
      </c>
      <c r="AG54" s="572">
        <f>IF(('Inndata Bygg'!G57+'Inndata Bygg'!O57+'Inndata Bygg'!S57) = 0, 0,'Inndata Bygg'!X57*Faktorer!$Z$58)</f>
        <v>0</v>
      </c>
      <c r="AH54" s="573">
        <f>IF(('Inndata Bygg'!G57+'Inndata Bygg'!O57+'Inndata Bygg'!S57) = 0, 0,'Inndata Bygg'!Z57+('Inndata Bygg'!X57+'Inndata Bygg'!Y57)*(1-Faktorer!$Z$58)*0.5)</f>
        <v>0</v>
      </c>
      <c r="AI54" s="574">
        <f>IF(('Inndata Bygg'!G57+'Inndata Bygg'!O57+'Inndata Bygg'!S57) = 0, 0,'Inndata Bygg'!AA57+('Inndata Bygg'!X57+'Inndata Bygg'!Y57)*(1-Faktorer!$Z$58)*0.5)</f>
        <v>0</v>
      </c>
      <c r="AJ54" s="634"/>
      <c r="AK54" s="90">
        <f t="shared" si="2"/>
        <v>0</v>
      </c>
      <c r="AL54" s="91">
        <f>'Resultater detaljert Bygg'!N54</f>
        <v>0</v>
      </c>
      <c r="AM54" s="91" t="str">
        <f>IF(F54=0,"",('Inndata Bygg'!E57+'Inndata Bygg'!F57)*ROUNDDOWN('Inndata Bygg'!I57,0)*(1+'Inndata Bygg'!K57))</f>
        <v/>
      </c>
    </row>
    <row r="55" spans="2:39">
      <c r="B55" s="339">
        <f>'Inndata Bygg'!B58</f>
        <v>0</v>
      </c>
      <c r="C55" s="340">
        <f>'Inndata Bygg'!C58</f>
        <v>0</v>
      </c>
      <c r="D55" s="341">
        <f>'Inndata Bygg'!D58</f>
        <v>0</v>
      </c>
      <c r="E55" s="421" cm="1">
        <f t="array" ref="E55">SUM(IFERROR(F55:AD55,0))</f>
        <v>0</v>
      </c>
      <c r="F55" s="330">
        <f>'Inndata Bygg'!E58</f>
        <v>0</v>
      </c>
      <c r="G55" s="330">
        <f>IF('Inndata Bygg'!AB58="Ja", -0.8*'Resultater detaljert Bygg'!F55, 0)</f>
        <v>0</v>
      </c>
      <c r="H55" s="330">
        <f>IF('Inndata Bygg'!AC58="Ja", -0.4*'Resultater detaljert Bygg'!$F55, 0)</f>
        <v>0</v>
      </c>
      <c r="I55" s="330">
        <f>IF('Inndata Bygg'!AD58="Ja", -1*'Resultater detaljert Bygg'!$F55, 0)</f>
        <v>0</v>
      </c>
      <c r="J55" s="330">
        <f>'Inndata Bygg'!O58*'Inndata Bygg'!P58</f>
        <v>0</v>
      </c>
      <c r="K55" s="330">
        <f>MAX(-0.75*(SUM('Resultater detaljert Bygg'!F55:J55)),-'Inndata Bygg'!O58*'Inndata Bygg'!Q58)</f>
        <v>0</v>
      </c>
      <c r="L55" s="330">
        <f>'Inndata Bygg'!S58*'Inndata Bygg'!T58</f>
        <v>0</v>
      </c>
      <c r="M55" s="330">
        <f>MAX(-0.75*(SUM('Resultater detaljert Bygg'!F55:I55,L55)),-'Inndata Bygg'!S58*'Inndata Bygg'!U58)</f>
        <v>0</v>
      </c>
      <c r="N55" s="331">
        <f>'Inndata Bygg'!F58</f>
        <v>0</v>
      </c>
      <c r="O55" s="330">
        <f>'Inndata Bygg'!O58*'Inndata Bygg'!R58</f>
        <v>0</v>
      </c>
      <c r="P55" s="332">
        <f>'Inndata Bygg'!S58*'Inndata Bygg'!V58</f>
        <v>0</v>
      </c>
      <c r="Q55" s="493">
        <f>SUM(F55:J55,L55)*'Inndata Bygg'!K58</f>
        <v>0</v>
      </c>
      <c r="R55" s="333">
        <f>(K55+M55)*'Inndata Bygg'!K58</f>
        <v>0</v>
      </c>
      <c r="S55" s="493">
        <f>N55*'Inndata Bygg'!K58</f>
        <v>0</v>
      </c>
      <c r="T55" s="494">
        <f>'Inndata Bygg'!G58*'Inndata Bygg'!K58*Transport_utslipp_til_avfallshånderting_per_kg</f>
        <v>0</v>
      </c>
      <c r="U55" s="330">
        <f>IF('Inndata Bygg'!E58 = 0, 0, 1.833*'Inndata Bygg'!X58*'Inndata Bygg'!K58*('Inndata Bygg'!G58*('Inndata Bygg'!L58*0.5+'Inndata Bygg'!M58*0.8) + (12/44)*('Inndata Bygg'!O58*'Inndata Bygg'!Q58+'Inndata Bygg'!S58*'Inndata Bygg'!U58)))</f>
        <v>0</v>
      </c>
      <c r="V55" s="335" cm="1">
        <f t="array" ref="V55">CalculateBiogenicCarbonUptake('ZERO-B Beregning'!$D$17,'Inndata Bygg'!H58,'Inndata Bygg'!G58,'Inndata Bygg'!L58,F55,AB55,AC55,AD55)</f>
        <v>0</v>
      </c>
      <c r="W55" s="576" cm="1">
        <f t="array" ref="W55">CalculateCementCarbonUptake('ZERO-B Beregning'!$D$17,'Inndata Bygg'!H58,'Inndata Bygg'!G58,'Inndata Bygg'!N58)</f>
        <v>0</v>
      </c>
      <c r="X55" s="331" cm="1">
        <f t="array" ref="X55">IF(SUM(F55:J55,L55)=0, 0, SUM(F55:J55,L55)*(1+'Inndata Bygg'!K58)*IF('Inndata Bygg'!H58&gt;50, 0, _xlfn.XLOOKUP('Inndata Bygg'!H58, År_etter_ferdigstillelse, IF(VALUE(LEFT('Inndata Bygg'!B58, 2))= 49, f_tid_x_f_tek_d_0_037_kumulativ, f_tid_x_f_tek_d_0_01_kumulativ))))</f>
        <v>0</v>
      </c>
      <c r="Y55" s="330">
        <f>IF(X55=0, 0, SUM(K55,M55)*(1+'Inndata Bygg'!K58)*IF('Inndata Bygg'!H58&gt;50, 0, _xlfn.XLOOKUP('Inndata Bygg'!H58, År_etter_ferdigstillelse, f_tid_x_f_tek_d_0_01_kumulativ)))</f>
        <v>0</v>
      </c>
      <c r="Z55" s="336">
        <f>IF(X55=0, 0, SUM(N55:P55)*(1+'Inndata Bygg'!K58)*IF('Inndata Bygg'!H58&gt;50, 0, _xlfn.XLOOKUP('Inndata Bygg'!H58, År_etter_ferdigstillelse, f_tid_x_f_tek_d_0_01_kumulativ)))</f>
        <v>0</v>
      </c>
      <c r="AA55" s="336">
        <f>IF(X55=0, 0, ('Inndata Bygg'!G58+'Inndata Bygg'!O58+'Inndata Bygg'!S58)*(1+'Inndata Bygg'!K58)*Transport_utslipp_til_avfallshånderting_per_kg*IF('Inndata Bygg'!H58&gt;50, 0, _xlfn.XLOOKUP('Inndata Bygg'!H58, År_etter_ferdigstillelse, f_tid_x_f_tek_d_0_01_kumulativ)))</f>
        <v>0</v>
      </c>
      <c r="AB55" s="580" cm="1">
        <f t="array" ref="AB55">CalculateEmissionsFromIncinerationOfWaste('ZERO-B Beregning'!$D$17,'Inndata Bygg'!H58,'Inndata Bygg'!G58,'Inndata Bygg'!X58,'Inndata Bygg'!L58,'Inndata Bygg'!M58,'Inndata Bygg'!B58)</f>
        <v>0</v>
      </c>
      <c r="AC55" s="335">
        <f>IF(('Inndata Bygg'!G58+'Inndata Bygg'!O58+'Inndata Bygg'!S58) = 0, 0,('Inndata Bygg'!G58+'Inndata Bygg'!O58+'Inndata Bygg'!S58)*(('Inndata Bygg'!X58+'Inndata Bygg'!Y58+'Inndata Bygg'!AA58)*Transport_utslipp_til_avfallshånderting_per_kg+('Inndata Bygg'!Z58*'ZERO-B Beregning'!D157/1000)*IF('ZERO-B Beregning'!F158=0,'ZERO-B Beregning'!D158,'ZERO-B Beregning'!F158))*_xlfn.XLOOKUP(51, År_etter_ferdigstillelse, f_tid_x_f_tek_d_0_01))</f>
        <v>0</v>
      </c>
      <c r="AD55" s="577">
        <f>IF(('Inndata Bygg'!G58+'Inndata Bygg'!O58+'Inndata Bygg'!S58) = 0, 0,1.833*('Inndata Bygg'!G58*('Inndata Bygg'!L58*0.5+'Inndata Bygg'!M58*0.8)+'Inndata Bygg'!O58*'Inndata Bygg'!Q58+'Inndata Bygg'!S58*'Inndata Bygg'!U58)*AG55*_xlfn.XLOOKUP(51, År_etter_ferdigstillelse,  f_tid_x_f_tek_d_0_01))</f>
        <v>0</v>
      </c>
      <c r="AE55" s="575" cm="1">
        <f t="array" ref="AE55">CalculateEmissionsReductionFromReuse('ZERO-B Beregning'!$D$17,'Inndata Bygg'!H58,'Inndata Bygg'!G58,'Inndata Bygg'!Z58,'Inndata Bygg'!X58,'Inndata Bygg'!Y58,F55,'Inndata Bygg'!B58)</f>
        <v>0</v>
      </c>
      <c r="AF55" s="333" cm="1">
        <f t="array" ref="AF55">CalculateEmissionReductionFromRecycling('ZERO-B Beregning'!$D$17,'Inndata Bygg'!H58,'Inndata Bygg'!G58,'Inndata Bygg'!AA58,'Inndata Bygg'!X58,'Inndata Bygg'!Y58,F55,'Inndata Bygg'!B58)</f>
        <v>0</v>
      </c>
      <c r="AG55" s="572">
        <f>IF(('Inndata Bygg'!G58+'Inndata Bygg'!O58+'Inndata Bygg'!S58) = 0, 0,'Inndata Bygg'!X58*Faktorer!$Z$58)</f>
        <v>0</v>
      </c>
      <c r="AH55" s="573">
        <f>IF(('Inndata Bygg'!G58+'Inndata Bygg'!O58+'Inndata Bygg'!S58) = 0, 0,'Inndata Bygg'!Z58+('Inndata Bygg'!X58+'Inndata Bygg'!Y58)*(1-Faktorer!$Z$58)*0.5)</f>
        <v>0</v>
      </c>
      <c r="AI55" s="574">
        <f>IF(('Inndata Bygg'!G58+'Inndata Bygg'!O58+'Inndata Bygg'!S58) = 0, 0,'Inndata Bygg'!AA58+('Inndata Bygg'!X58+'Inndata Bygg'!Y58)*(1-Faktorer!$Z$58)*0.5)</f>
        <v>0</v>
      </c>
      <c r="AJ55" s="634"/>
      <c r="AK55" s="90">
        <f t="shared" si="2"/>
        <v>0</v>
      </c>
      <c r="AL55" s="91">
        <f>'Resultater detaljert Bygg'!N55</f>
        <v>0</v>
      </c>
      <c r="AM55" s="91" t="str">
        <f>IF(F55=0,"",('Inndata Bygg'!E58+'Inndata Bygg'!F58)*ROUNDDOWN('Inndata Bygg'!I58,0)*(1+'Inndata Bygg'!K58))</f>
        <v/>
      </c>
    </row>
    <row r="56" spans="2:39">
      <c r="B56" s="339">
        <f>'Inndata Bygg'!B59</f>
        <v>0</v>
      </c>
      <c r="C56" s="340">
        <f>'Inndata Bygg'!C59</f>
        <v>0</v>
      </c>
      <c r="D56" s="341">
        <f>'Inndata Bygg'!D59</f>
        <v>0</v>
      </c>
      <c r="E56" s="421" cm="1">
        <f t="array" ref="E56">SUM(IFERROR(F56:AD56,0))</f>
        <v>0</v>
      </c>
      <c r="F56" s="330">
        <f>'Inndata Bygg'!E59</f>
        <v>0</v>
      </c>
      <c r="G56" s="330">
        <f>IF('Inndata Bygg'!AB59="Ja", -0.8*'Resultater detaljert Bygg'!F56, 0)</f>
        <v>0</v>
      </c>
      <c r="H56" s="330">
        <f>IF('Inndata Bygg'!AC59="Ja", -0.4*'Resultater detaljert Bygg'!$F56, 0)</f>
        <v>0</v>
      </c>
      <c r="I56" s="330">
        <f>IF('Inndata Bygg'!AD59="Ja", -1*'Resultater detaljert Bygg'!$F56, 0)</f>
        <v>0</v>
      </c>
      <c r="J56" s="330">
        <f>'Inndata Bygg'!O59*'Inndata Bygg'!P59</f>
        <v>0</v>
      </c>
      <c r="K56" s="330">
        <f>MAX(-0.75*(SUM('Resultater detaljert Bygg'!F56:J56)),-'Inndata Bygg'!O59*'Inndata Bygg'!Q59)</f>
        <v>0</v>
      </c>
      <c r="L56" s="330">
        <f>'Inndata Bygg'!S59*'Inndata Bygg'!T59</f>
        <v>0</v>
      </c>
      <c r="M56" s="330">
        <f>MAX(-0.75*(SUM('Resultater detaljert Bygg'!F56:I56,L56)),-'Inndata Bygg'!S59*'Inndata Bygg'!U59)</f>
        <v>0</v>
      </c>
      <c r="N56" s="331">
        <f>'Inndata Bygg'!F59</f>
        <v>0</v>
      </c>
      <c r="O56" s="330">
        <f>'Inndata Bygg'!O59*'Inndata Bygg'!R59</f>
        <v>0</v>
      </c>
      <c r="P56" s="332">
        <f>'Inndata Bygg'!S59*'Inndata Bygg'!V59</f>
        <v>0</v>
      </c>
      <c r="Q56" s="493">
        <f>SUM(F56:J56,L56)*'Inndata Bygg'!K59</f>
        <v>0</v>
      </c>
      <c r="R56" s="333">
        <f>(K56+M56)*'Inndata Bygg'!K59</f>
        <v>0</v>
      </c>
      <c r="S56" s="493">
        <f>N56*'Inndata Bygg'!K59</f>
        <v>0</v>
      </c>
      <c r="T56" s="494">
        <f>'Inndata Bygg'!G59*'Inndata Bygg'!K59*Transport_utslipp_til_avfallshånderting_per_kg</f>
        <v>0</v>
      </c>
      <c r="U56" s="330">
        <f>IF('Inndata Bygg'!E59 = 0, 0, 1.833*'Inndata Bygg'!X59*'Inndata Bygg'!K59*('Inndata Bygg'!G59*('Inndata Bygg'!L59*0.5+'Inndata Bygg'!M59*0.8) + (12/44)*('Inndata Bygg'!O59*'Inndata Bygg'!Q59+'Inndata Bygg'!S59*'Inndata Bygg'!U59)))</f>
        <v>0</v>
      </c>
      <c r="V56" s="335" cm="1">
        <f t="array" ref="V56">CalculateBiogenicCarbonUptake('ZERO-B Beregning'!$D$17,'Inndata Bygg'!H59,'Inndata Bygg'!G59,'Inndata Bygg'!L59,F56,AB56,AC56,AD56)</f>
        <v>0</v>
      </c>
      <c r="W56" s="576" cm="1">
        <f t="array" ref="W56">CalculateCementCarbonUptake('ZERO-B Beregning'!$D$17,'Inndata Bygg'!H59,'Inndata Bygg'!G59,'Inndata Bygg'!N59)</f>
        <v>0</v>
      </c>
      <c r="X56" s="331" cm="1">
        <f t="array" ref="X56">IF(SUM(F56:J56,L56)=0, 0, SUM(F56:J56,L56)*(1+'Inndata Bygg'!K59)*IF('Inndata Bygg'!H59&gt;50, 0, _xlfn.XLOOKUP('Inndata Bygg'!H59, År_etter_ferdigstillelse, IF(VALUE(LEFT('Inndata Bygg'!B59, 2))= 49, f_tid_x_f_tek_d_0_037_kumulativ, f_tid_x_f_tek_d_0_01_kumulativ))))</f>
        <v>0</v>
      </c>
      <c r="Y56" s="330">
        <f>IF(X56=0, 0, SUM(K56,M56)*(1+'Inndata Bygg'!K59)*IF('Inndata Bygg'!H59&gt;50, 0, _xlfn.XLOOKUP('Inndata Bygg'!H59, År_etter_ferdigstillelse, f_tid_x_f_tek_d_0_01_kumulativ)))</f>
        <v>0</v>
      </c>
      <c r="Z56" s="336">
        <f>IF(X56=0, 0, SUM(N56:P56)*(1+'Inndata Bygg'!K59)*IF('Inndata Bygg'!H59&gt;50, 0, _xlfn.XLOOKUP('Inndata Bygg'!H59, År_etter_ferdigstillelse, f_tid_x_f_tek_d_0_01_kumulativ)))</f>
        <v>0</v>
      </c>
      <c r="AA56" s="336">
        <f>IF(X56=0, 0, ('Inndata Bygg'!G59+'Inndata Bygg'!O59+'Inndata Bygg'!S59)*(1+'Inndata Bygg'!K59)*Transport_utslipp_til_avfallshånderting_per_kg*IF('Inndata Bygg'!H59&gt;50, 0, _xlfn.XLOOKUP('Inndata Bygg'!H59, År_etter_ferdigstillelse, f_tid_x_f_tek_d_0_01_kumulativ)))</f>
        <v>0</v>
      </c>
      <c r="AB56" s="580" cm="1">
        <f t="array" ref="AB56">CalculateEmissionsFromIncinerationOfWaste('ZERO-B Beregning'!$D$17,'Inndata Bygg'!H59,'Inndata Bygg'!G59,'Inndata Bygg'!X59,'Inndata Bygg'!L59,'Inndata Bygg'!M59,'Inndata Bygg'!B59)</f>
        <v>0</v>
      </c>
      <c r="AC56" s="335">
        <f>IF(('Inndata Bygg'!G59+'Inndata Bygg'!O59+'Inndata Bygg'!S59) = 0, 0,('Inndata Bygg'!G59+'Inndata Bygg'!O59+'Inndata Bygg'!S59)*(('Inndata Bygg'!X59+'Inndata Bygg'!Y59+'Inndata Bygg'!AA59)*Transport_utslipp_til_avfallshånderting_per_kg+('Inndata Bygg'!Z59*'ZERO-B Beregning'!D158/1000)*IF('ZERO-B Beregning'!F159=0,'ZERO-B Beregning'!D159,'ZERO-B Beregning'!F159))*_xlfn.XLOOKUP(51, År_etter_ferdigstillelse, f_tid_x_f_tek_d_0_01))</f>
        <v>0</v>
      </c>
      <c r="AD56" s="577">
        <f>IF(('Inndata Bygg'!G59+'Inndata Bygg'!O59+'Inndata Bygg'!S59) = 0, 0,1.833*('Inndata Bygg'!G59*('Inndata Bygg'!L59*0.5+'Inndata Bygg'!M59*0.8)+'Inndata Bygg'!O59*'Inndata Bygg'!Q59+'Inndata Bygg'!S59*'Inndata Bygg'!U59)*AG56*_xlfn.XLOOKUP(51, År_etter_ferdigstillelse,  f_tid_x_f_tek_d_0_01))</f>
        <v>0</v>
      </c>
      <c r="AE56" s="575" cm="1">
        <f t="array" ref="AE56">CalculateEmissionsReductionFromReuse('ZERO-B Beregning'!$D$17,'Inndata Bygg'!H59,'Inndata Bygg'!G59,'Inndata Bygg'!Z59,'Inndata Bygg'!X59,'Inndata Bygg'!Y59,F56,'Inndata Bygg'!B59)</f>
        <v>0</v>
      </c>
      <c r="AF56" s="333" cm="1">
        <f t="array" ref="AF56">CalculateEmissionReductionFromRecycling('ZERO-B Beregning'!$D$17,'Inndata Bygg'!H59,'Inndata Bygg'!G59,'Inndata Bygg'!AA59,'Inndata Bygg'!X59,'Inndata Bygg'!Y59,F56,'Inndata Bygg'!B59)</f>
        <v>0</v>
      </c>
      <c r="AG56" s="572">
        <f>IF(('Inndata Bygg'!G59+'Inndata Bygg'!O59+'Inndata Bygg'!S59) = 0, 0,'Inndata Bygg'!X59*Faktorer!$Z$58)</f>
        <v>0</v>
      </c>
      <c r="AH56" s="573">
        <f>IF(('Inndata Bygg'!G59+'Inndata Bygg'!O59+'Inndata Bygg'!S59) = 0, 0,'Inndata Bygg'!Z59+('Inndata Bygg'!X59+'Inndata Bygg'!Y59)*(1-Faktorer!$Z$58)*0.5)</f>
        <v>0</v>
      </c>
      <c r="AI56" s="574">
        <f>IF(('Inndata Bygg'!G59+'Inndata Bygg'!O59+'Inndata Bygg'!S59) = 0, 0,'Inndata Bygg'!AA59+('Inndata Bygg'!X59+'Inndata Bygg'!Y59)*(1-Faktorer!$Z$58)*0.5)</f>
        <v>0</v>
      </c>
      <c r="AJ56" s="634"/>
      <c r="AK56" s="90">
        <f t="shared" si="2"/>
        <v>0</v>
      </c>
      <c r="AL56" s="91">
        <f>'Resultater detaljert Bygg'!N56</f>
        <v>0</v>
      </c>
      <c r="AM56" s="91" t="str">
        <f>IF(F56=0,"",('Inndata Bygg'!E59+'Inndata Bygg'!F59)*ROUNDDOWN('Inndata Bygg'!I59,0)*(1+'Inndata Bygg'!K59))</f>
        <v/>
      </c>
    </row>
    <row r="57" spans="2:39">
      <c r="B57" s="339">
        <f>'Inndata Bygg'!B60</f>
        <v>0</v>
      </c>
      <c r="C57" s="340">
        <f>'Inndata Bygg'!C60</f>
        <v>0</v>
      </c>
      <c r="D57" s="341">
        <f>'Inndata Bygg'!D60</f>
        <v>0</v>
      </c>
      <c r="E57" s="421" cm="1">
        <f t="array" ref="E57">SUM(IFERROR(F57:AD57,0))</f>
        <v>0</v>
      </c>
      <c r="F57" s="330">
        <f>'Inndata Bygg'!E60</f>
        <v>0</v>
      </c>
      <c r="G57" s="330">
        <f>IF('Inndata Bygg'!AB60="Ja", -0.8*'Resultater detaljert Bygg'!F57, 0)</f>
        <v>0</v>
      </c>
      <c r="H57" s="330">
        <f>IF('Inndata Bygg'!AC60="Ja", -0.4*'Resultater detaljert Bygg'!$F57, 0)</f>
        <v>0</v>
      </c>
      <c r="I57" s="330">
        <f>IF('Inndata Bygg'!AD60="Ja", -1*'Resultater detaljert Bygg'!$F57, 0)</f>
        <v>0</v>
      </c>
      <c r="J57" s="330">
        <f>'Inndata Bygg'!O60*'Inndata Bygg'!P60</f>
        <v>0</v>
      </c>
      <c r="K57" s="330">
        <f>MAX(-0.75*(SUM('Resultater detaljert Bygg'!F57:J57)),-'Inndata Bygg'!O60*'Inndata Bygg'!Q60)</f>
        <v>0</v>
      </c>
      <c r="L57" s="330">
        <f>'Inndata Bygg'!S60*'Inndata Bygg'!T60</f>
        <v>0</v>
      </c>
      <c r="M57" s="330">
        <f>MAX(-0.75*(SUM('Resultater detaljert Bygg'!F57:I57,L57)),-'Inndata Bygg'!S60*'Inndata Bygg'!U60)</f>
        <v>0</v>
      </c>
      <c r="N57" s="331">
        <f>'Inndata Bygg'!F60</f>
        <v>0</v>
      </c>
      <c r="O57" s="330">
        <f>'Inndata Bygg'!O60*'Inndata Bygg'!R60</f>
        <v>0</v>
      </c>
      <c r="P57" s="332">
        <f>'Inndata Bygg'!S60*'Inndata Bygg'!V60</f>
        <v>0</v>
      </c>
      <c r="Q57" s="493">
        <f>SUM(F57:J57,L57)*'Inndata Bygg'!K60</f>
        <v>0</v>
      </c>
      <c r="R57" s="333">
        <f>(K57+M57)*'Inndata Bygg'!K60</f>
        <v>0</v>
      </c>
      <c r="S57" s="493">
        <f>N57*'Inndata Bygg'!K60</f>
        <v>0</v>
      </c>
      <c r="T57" s="494">
        <f>'Inndata Bygg'!G60*'Inndata Bygg'!K60*Transport_utslipp_til_avfallshånderting_per_kg</f>
        <v>0</v>
      </c>
      <c r="U57" s="330">
        <f>IF('Inndata Bygg'!E60 = 0, 0, 1.833*'Inndata Bygg'!X60*'Inndata Bygg'!K60*('Inndata Bygg'!G60*('Inndata Bygg'!L60*0.5+'Inndata Bygg'!M60*0.8) + (12/44)*('Inndata Bygg'!O60*'Inndata Bygg'!Q60+'Inndata Bygg'!S60*'Inndata Bygg'!U60)))</f>
        <v>0</v>
      </c>
      <c r="V57" s="335" cm="1">
        <f t="array" ref="V57">CalculateBiogenicCarbonUptake('ZERO-B Beregning'!$D$17,'Inndata Bygg'!H60,'Inndata Bygg'!G60,'Inndata Bygg'!L60,F57,AB57,AC57,AD57)</f>
        <v>0</v>
      </c>
      <c r="W57" s="576" cm="1">
        <f t="array" ref="W57">CalculateCementCarbonUptake('ZERO-B Beregning'!$D$17,'Inndata Bygg'!H60,'Inndata Bygg'!G60,'Inndata Bygg'!N60)</f>
        <v>0</v>
      </c>
      <c r="X57" s="331" cm="1">
        <f t="array" ref="X57">IF(SUM(F57:J57,L57)=0, 0, SUM(F57:J57,L57)*(1+'Inndata Bygg'!K60)*IF('Inndata Bygg'!H60&gt;50, 0, _xlfn.XLOOKUP('Inndata Bygg'!H60, År_etter_ferdigstillelse, IF(VALUE(LEFT('Inndata Bygg'!B60, 2))= 49, f_tid_x_f_tek_d_0_037_kumulativ, f_tid_x_f_tek_d_0_01_kumulativ))))</f>
        <v>0</v>
      </c>
      <c r="Y57" s="330">
        <f>IF(X57=0, 0, SUM(K57,M57)*(1+'Inndata Bygg'!K60)*IF('Inndata Bygg'!H60&gt;50, 0, _xlfn.XLOOKUP('Inndata Bygg'!H60, År_etter_ferdigstillelse, f_tid_x_f_tek_d_0_01_kumulativ)))</f>
        <v>0</v>
      </c>
      <c r="Z57" s="336">
        <f>IF(X57=0, 0, SUM(N57:P57)*(1+'Inndata Bygg'!K60)*IF('Inndata Bygg'!H60&gt;50, 0, _xlfn.XLOOKUP('Inndata Bygg'!H60, År_etter_ferdigstillelse, f_tid_x_f_tek_d_0_01_kumulativ)))</f>
        <v>0</v>
      </c>
      <c r="AA57" s="336">
        <f>IF(X57=0, 0, ('Inndata Bygg'!G60+'Inndata Bygg'!O60+'Inndata Bygg'!S60)*(1+'Inndata Bygg'!K60)*Transport_utslipp_til_avfallshånderting_per_kg*IF('Inndata Bygg'!H60&gt;50, 0, _xlfn.XLOOKUP('Inndata Bygg'!H60, År_etter_ferdigstillelse, f_tid_x_f_tek_d_0_01_kumulativ)))</f>
        <v>0</v>
      </c>
      <c r="AB57" s="580" cm="1">
        <f t="array" ref="AB57">CalculateEmissionsFromIncinerationOfWaste('ZERO-B Beregning'!$D$17,'Inndata Bygg'!H60,'Inndata Bygg'!G60,'Inndata Bygg'!X60,'Inndata Bygg'!L60,'Inndata Bygg'!M60,'Inndata Bygg'!B60)</f>
        <v>0</v>
      </c>
      <c r="AC57" s="335">
        <f>IF(('Inndata Bygg'!G60+'Inndata Bygg'!O60+'Inndata Bygg'!S60) = 0, 0,('Inndata Bygg'!G60+'Inndata Bygg'!O60+'Inndata Bygg'!S60)*(('Inndata Bygg'!X60+'Inndata Bygg'!Y60+'Inndata Bygg'!AA60)*Transport_utslipp_til_avfallshånderting_per_kg+('Inndata Bygg'!Z60*'ZERO-B Beregning'!D159/1000)*IF('ZERO-B Beregning'!F160=0,'ZERO-B Beregning'!D160,'ZERO-B Beregning'!F160))*_xlfn.XLOOKUP(51, År_etter_ferdigstillelse, f_tid_x_f_tek_d_0_01))</f>
        <v>0</v>
      </c>
      <c r="AD57" s="577">
        <f>IF(('Inndata Bygg'!G60+'Inndata Bygg'!O60+'Inndata Bygg'!S60) = 0, 0,1.833*('Inndata Bygg'!G60*('Inndata Bygg'!L60*0.5+'Inndata Bygg'!M60*0.8)+'Inndata Bygg'!O60*'Inndata Bygg'!Q60+'Inndata Bygg'!S60*'Inndata Bygg'!U60)*AG57*_xlfn.XLOOKUP(51, År_etter_ferdigstillelse,  f_tid_x_f_tek_d_0_01))</f>
        <v>0</v>
      </c>
      <c r="AE57" s="575" cm="1">
        <f t="array" ref="AE57">CalculateEmissionsReductionFromReuse('ZERO-B Beregning'!$D$17,'Inndata Bygg'!H60,'Inndata Bygg'!G60,'Inndata Bygg'!Z60,'Inndata Bygg'!X60,'Inndata Bygg'!Y60,F57,'Inndata Bygg'!B60)</f>
        <v>0</v>
      </c>
      <c r="AF57" s="333" cm="1">
        <f t="array" ref="AF57">CalculateEmissionReductionFromRecycling('ZERO-B Beregning'!$D$17,'Inndata Bygg'!H60,'Inndata Bygg'!G60,'Inndata Bygg'!AA60,'Inndata Bygg'!X60,'Inndata Bygg'!Y60,F57,'Inndata Bygg'!B60)</f>
        <v>0</v>
      </c>
      <c r="AG57" s="572">
        <f>IF(('Inndata Bygg'!G60+'Inndata Bygg'!O60+'Inndata Bygg'!S60) = 0, 0,'Inndata Bygg'!X60*Faktorer!$Z$58)</f>
        <v>0</v>
      </c>
      <c r="AH57" s="573">
        <f>IF(('Inndata Bygg'!G60+'Inndata Bygg'!O60+'Inndata Bygg'!S60) = 0, 0,'Inndata Bygg'!Z60+('Inndata Bygg'!X60+'Inndata Bygg'!Y60)*(1-Faktorer!$Z$58)*0.5)</f>
        <v>0</v>
      </c>
      <c r="AI57" s="574">
        <f>IF(('Inndata Bygg'!G60+'Inndata Bygg'!O60+'Inndata Bygg'!S60) = 0, 0,'Inndata Bygg'!AA60+('Inndata Bygg'!X60+'Inndata Bygg'!Y60)*(1-Faktorer!$Z$58)*0.5)</f>
        <v>0</v>
      </c>
      <c r="AJ57" s="634"/>
      <c r="AK57" s="90">
        <f t="shared" si="2"/>
        <v>0</v>
      </c>
      <c r="AL57" s="91">
        <f>'Resultater detaljert Bygg'!N57</f>
        <v>0</v>
      </c>
      <c r="AM57" s="91" t="str">
        <f>IF(F57=0,"",('Inndata Bygg'!E60+'Inndata Bygg'!F60)*ROUNDDOWN('Inndata Bygg'!I60,0)*(1+'Inndata Bygg'!K60))</f>
        <v/>
      </c>
    </row>
    <row r="58" spans="2:39">
      <c r="B58" s="339">
        <f>'Inndata Bygg'!B61</f>
        <v>0</v>
      </c>
      <c r="C58" s="340">
        <f>'Inndata Bygg'!C61</f>
        <v>0</v>
      </c>
      <c r="D58" s="341">
        <f>'Inndata Bygg'!D61</f>
        <v>0</v>
      </c>
      <c r="E58" s="421" cm="1">
        <f t="array" ref="E58">SUM(IFERROR(F58:AD58,0))</f>
        <v>0</v>
      </c>
      <c r="F58" s="330">
        <f>'Inndata Bygg'!E61</f>
        <v>0</v>
      </c>
      <c r="G58" s="330">
        <f>IF('Inndata Bygg'!AB61="Ja", -0.8*'Resultater detaljert Bygg'!F58, 0)</f>
        <v>0</v>
      </c>
      <c r="H58" s="330">
        <f>IF('Inndata Bygg'!AC61="Ja", -0.4*'Resultater detaljert Bygg'!$F58, 0)</f>
        <v>0</v>
      </c>
      <c r="I58" s="330">
        <f>IF('Inndata Bygg'!AD61="Ja", -1*'Resultater detaljert Bygg'!$F58, 0)</f>
        <v>0</v>
      </c>
      <c r="J58" s="330">
        <f>'Inndata Bygg'!O61*'Inndata Bygg'!P61</f>
        <v>0</v>
      </c>
      <c r="K58" s="330">
        <f>MAX(-0.75*(SUM('Resultater detaljert Bygg'!F58:J58)),-'Inndata Bygg'!O61*'Inndata Bygg'!Q61)</f>
        <v>0</v>
      </c>
      <c r="L58" s="330">
        <f>'Inndata Bygg'!S61*'Inndata Bygg'!T61</f>
        <v>0</v>
      </c>
      <c r="M58" s="330">
        <f>MAX(-0.75*(SUM('Resultater detaljert Bygg'!F58:I58,L58)),-'Inndata Bygg'!S61*'Inndata Bygg'!U61)</f>
        <v>0</v>
      </c>
      <c r="N58" s="331">
        <f>'Inndata Bygg'!F61</f>
        <v>0</v>
      </c>
      <c r="O58" s="330">
        <f>'Inndata Bygg'!O61*'Inndata Bygg'!R61</f>
        <v>0</v>
      </c>
      <c r="P58" s="332">
        <f>'Inndata Bygg'!S61*'Inndata Bygg'!V61</f>
        <v>0</v>
      </c>
      <c r="Q58" s="493">
        <f>SUM(F58:J58,L58)*'Inndata Bygg'!K61</f>
        <v>0</v>
      </c>
      <c r="R58" s="333">
        <f>(K58+M58)*'Inndata Bygg'!K61</f>
        <v>0</v>
      </c>
      <c r="S58" s="493">
        <f>N58*'Inndata Bygg'!K61</f>
        <v>0</v>
      </c>
      <c r="T58" s="494">
        <f>'Inndata Bygg'!G61*'Inndata Bygg'!K61*Transport_utslipp_til_avfallshånderting_per_kg</f>
        <v>0</v>
      </c>
      <c r="U58" s="330">
        <f>IF('Inndata Bygg'!E61 = 0, 0, 1.833*'Inndata Bygg'!X61*'Inndata Bygg'!K61*('Inndata Bygg'!G61*('Inndata Bygg'!L61*0.5+'Inndata Bygg'!M61*0.8) + (12/44)*('Inndata Bygg'!O61*'Inndata Bygg'!Q61+'Inndata Bygg'!S61*'Inndata Bygg'!U61)))</f>
        <v>0</v>
      </c>
      <c r="V58" s="335" cm="1">
        <f t="array" ref="V58">CalculateBiogenicCarbonUptake('ZERO-B Beregning'!$D$17,'Inndata Bygg'!H61,'Inndata Bygg'!G61,'Inndata Bygg'!L61,F58,AB58,AC58,AD58)</f>
        <v>0</v>
      </c>
      <c r="W58" s="576" cm="1">
        <f t="array" ref="W58">CalculateCementCarbonUptake('ZERO-B Beregning'!$D$17,'Inndata Bygg'!H61,'Inndata Bygg'!G61,'Inndata Bygg'!N61)</f>
        <v>0</v>
      </c>
      <c r="X58" s="331" cm="1">
        <f t="array" ref="X58">IF(SUM(F58:J58,L58)=0, 0, SUM(F58:J58,L58)*(1+'Inndata Bygg'!K61)*IF('Inndata Bygg'!H61&gt;50, 0, _xlfn.XLOOKUP('Inndata Bygg'!H61, År_etter_ferdigstillelse, IF(VALUE(LEFT('Inndata Bygg'!B61, 2))= 49, f_tid_x_f_tek_d_0_037_kumulativ, f_tid_x_f_tek_d_0_01_kumulativ))))</f>
        <v>0</v>
      </c>
      <c r="Y58" s="330">
        <f>IF(X58=0, 0, SUM(K58,M58)*(1+'Inndata Bygg'!K61)*IF('Inndata Bygg'!H61&gt;50, 0, _xlfn.XLOOKUP('Inndata Bygg'!H61, År_etter_ferdigstillelse, f_tid_x_f_tek_d_0_01_kumulativ)))</f>
        <v>0</v>
      </c>
      <c r="Z58" s="336">
        <f>IF(X58=0, 0, SUM(N58:P58)*(1+'Inndata Bygg'!K61)*IF('Inndata Bygg'!H61&gt;50, 0, _xlfn.XLOOKUP('Inndata Bygg'!H61, År_etter_ferdigstillelse, f_tid_x_f_tek_d_0_01_kumulativ)))</f>
        <v>0</v>
      </c>
      <c r="AA58" s="336">
        <f>IF(X58=0, 0, ('Inndata Bygg'!G61+'Inndata Bygg'!O61+'Inndata Bygg'!S61)*(1+'Inndata Bygg'!K61)*Transport_utslipp_til_avfallshånderting_per_kg*IF('Inndata Bygg'!H61&gt;50, 0, _xlfn.XLOOKUP('Inndata Bygg'!H61, År_etter_ferdigstillelse, f_tid_x_f_tek_d_0_01_kumulativ)))</f>
        <v>0</v>
      </c>
      <c r="AB58" s="580" cm="1">
        <f t="array" ref="AB58">CalculateEmissionsFromIncinerationOfWaste('ZERO-B Beregning'!$D$17,'Inndata Bygg'!H61,'Inndata Bygg'!G61,'Inndata Bygg'!X61,'Inndata Bygg'!L61,'Inndata Bygg'!M61,'Inndata Bygg'!B61)</f>
        <v>0</v>
      </c>
      <c r="AC58" s="335">
        <f>IF(('Inndata Bygg'!G61+'Inndata Bygg'!O61+'Inndata Bygg'!S61) = 0, 0,('Inndata Bygg'!G61+'Inndata Bygg'!O61+'Inndata Bygg'!S61)*(('Inndata Bygg'!X61+'Inndata Bygg'!Y61+'Inndata Bygg'!AA61)*Transport_utslipp_til_avfallshånderting_per_kg+('Inndata Bygg'!Z61*'ZERO-B Beregning'!D160/1000)*IF('ZERO-B Beregning'!F161=0,'ZERO-B Beregning'!D161,'ZERO-B Beregning'!F161))*_xlfn.XLOOKUP(51, År_etter_ferdigstillelse, f_tid_x_f_tek_d_0_01))</f>
        <v>0</v>
      </c>
      <c r="AD58" s="577">
        <f>IF(('Inndata Bygg'!G61+'Inndata Bygg'!O61+'Inndata Bygg'!S61) = 0, 0,1.833*('Inndata Bygg'!G61*('Inndata Bygg'!L61*0.5+'Inndata Bygg'!M61*0.8)+'Inndata Bygg'!O61*'Inndata Bygg'!Q61+'Inndata Bygg'!S61*'Inndata Bygg'!U61)*AG58*_xlfn.XLOOKUP(51, År_etter_ferdigstillelse,  f_tid_x_f_tek_d_0_01))</f>
        <v>0</v>
      </c>
      <c r="AE58" s="575" cm="1">
        <f t="array" ref="AE58">CalculateEmissionsReductionFromReuse('ZERO-B Beregning'!$D$17,'Inndata Bygg'!H61,'Inndata Bygg'!G61,'Inndata Bygg'!Z61,'Inndata Bygg'!X61,'Inndata Bygg'!Y61,F58,'Inndata Bygg'!B61)</f>
        <v>0</v>
      </c>
      <c r="AF58" s="333" cm="1">
        <f t="array" ref="AF58">CalculateEmissionReductionFromRecycling('ZERO-B Beregning'!$D$17,'Inndata Bygg'!H61,'Inndata Bygg'!G61,'Inndata Bygg'!AA61,'Inndata Bygg'!X61,'Inndata Bygg'!Y61,F58,'Inndata Bygg'!B61)</f>
        <v>0</v>
      </c>
      <c r="AG58" s="572">
        <f>IF(('Inndata Bygg'!G61+'Inndata Bygg'!O61+'Inndata Bygg'!S61) = 0, 0,'Inndata Bygg'!X61*Faktorer!$Z$58)</f>
        <v>0</v>
      </c>
      <c r="AH58" s="573">
        <f>IF(('Inndata Bygg'!G61+'Inndata Bygg'!O61+'Inndata Bygg'!S61) = 0, 0,'Inndata Bygg'!Z61+('Inndata Bygg'!X61+'Inndata Bygg'!Y61)*(1-Faktorer!$Z$58)*0.5)</f>
        <v>0</v>
      </c>
      <c r="AI58" s="574">
        <f>IF(('Inndata Bygg'!G61+'Inndata Bygg'!O61+'Inndata Bygg'!S61) = 0, 0,'Inndata Bygg'!AA61+('Inndata Bygg'!X61+'Inndata Bygg'!Y61)*(1-Faktorer!$Z$58)*0.5)</f>
        <v>0</v>
      </c>
      <c r="AJ58" s="634"/>
      <c r="AK58" s="90">
        <f t="shared" si="2"/>
        <v>0</v>
      </c>
      <c r="AL58" s="91">
        <f>'Resultater detaljert Bygg'!N58</f>
        <v>0</v>
      </c>
      <c r="AM58" s="91" t="str">
        <f>IF(F58=0,"",('Inndata Bygg'!E61+'Inndata Bygg'!F61)*ROUNDDOWN('Inndata Bygg'!I61,0)*(1+'Inndata Bygg'!K61))</f>
        <v/>
      </c>
    </row>
    <row r="59" spans="2:39">
      <c r="B59" s="339">
        <f>'Inndata Bygg'!B62</f>
        <v>0</v>
      </c>
      <c r="C59" s="340">
        <f>'Inndata Bygg'!C62</f>
        <v>0</v>
      </c>
      <c r="D59" s="341">
        <f>'Inndata Bygg'!D62</f>
        <v>0</v>
      </c>
      <c r="E59" s="421" cm="1">
        <f t="array" ref="E59">SUM(IFERROR(F59:AD59,0))</f>
        <v>0</v>
      </c>
      <c r="F59" s="330">
        <f>'Inndata Bygg'!E62</f>
        <v>0</v>
      </c>
      <c r="G59" s="330">
        <f>IF('Inndata Bygg'!AB62="Ja", -0.8*'Resultater detaljert Bygg'!F59, 0)</f>
        <v>0</v>
      </c>
      <c r="H59" s="330">
        <f>IF('Inndata Bygg'!AC62="Ja", -0.4*'Resultater detaljert Bygg'!$F59, 0)</f>
        <v>0</v>
      </c>
      <c r="I59" s="330">
        <f>IF('Inndata Bygg'!AD62="Ja", -1*'Resultater detaljert Bygg'!$F59, 0)</f>
        <v>0</v>
      </c>
      <c r="J59" s="330">
        <f>'Inndata Bygg'!O62*'Inndata Bygg'!P62</f>
        <v>0</v>
      </c>
      <c r="K59" s="330">
        <f>MAX(-0.75*(SUM('Resultater detaljert Bygg'!F59:J59)),-'Inndata Bygg'!O62*'Inndata Bygg'!Q62)</f>
        <v>0</v>
      </c>
      <c r="L59" s="330">
        <f>'Inndata Bygg'!S62*'Inndata Bygg'!T62</f>
        <v>0</v>
      </c>
      <c r="M59" s="330">
        <f>MAX(-0.75*(SUM('Resultater detaljert Bygg'!F59:I59,L59)),-'Inndata Bygg'!S62*'Inndata Bygg'!U62)</f>
        <v>0</v>
      </c>
      <c r="N59" s="331">
        <f>'Inndata Bygg'!F62</f>
        <v>0</v>
      </c>
      <c r="O59" s="330">
        <f>'Inndata Bygg'!O62*'Inndata Bygg'!R62</f>
        <v>0</v>
      </c>
      <c r="P59" s="332">
        <f>'Inndata Bygg'!S62*'Inndata Bygg'!V62</f>
        <v>0</v>
      </c>
      <c r="Q59" s="493">
        <f>SUM(F59:J59,L59)*'Inndata Bygg'!K62</f>
        <v>0</v>
      </c>
      <c r="R59" s="333">
        <f>(K59+M59)*'Inndata Bygg'!K62</f>
        <v>0</v>
      </c>
      <c r="S59" s="493">
        <f>N59*'Inndata Bygg'!K62</f>
        <v>0</v>
      </c>
      <c r="T59" s="494">
        <f>'Inndata Bygg'!G62*'Inndata Bygg'!K62*Transport_utslipp_til_avfallshånderting_per_kg</f>
        <v>0</v>
      </c>
      <c r="U59" s="330">
        <f>IF('Inndata Bygg'!E62 = 0, 0, 1.833*'Inndata Bygg'!X62*'Inndata Bygg'!K62*('Inndata Bygg'!G62*('Inndata Bygg'!L62*0.5+'Inndata Bygg'!M62*0.8) + (12/44)*('Inndata Bygg'!O62*'Inndata Bygg'!Q62+'Inndata Bygg'!S62*'Inndata Bygg'!U62)))</f>
        <v>0</v>
      </c>
      <c r="V59" s="335" cm="1">
        <f t="array" ref="V59">CalculateBiogenicCarbonUptake('ZERO-B Beregning'!$D$17,'Inndata Bygg'!H62,'Inndata Bygg'!G62,'Inndata Bygg'!L62,F59,AB59,AC59,AD59)</f>
        <v>0</v>
      </c>
      <c r="W59" s="576" cm="1">
        <f t="array" ref="W59">CalculateCementCarbonUptake('ZERO-B Beregning'!$D$17,'Inndata Bygg'!H62,'Inndata Bygg'!G62,'Inndata Bygg'!N62)</f>
        <v>0</v>
      </c>
      <c r="X59" s="331" cm="1">
        <f t="array" ref="X59">IF(SUM(F59:J59,L59)=0, 0, SUM(F59:J59,L59)*(1+'Inndata Bygg'!K62)*IF('Inndata Bygg'!H62&gt;50, 0, _xlfn.XLOOKUP('Inndata Bygg'!H62, År_etter_ferdigstillelse, IF(VALUE(LEFT('Inndata Bygg'!B62, 2))= 49, f_tid_x_f_tek_d_0_037_kumulativ, f_tid_x_f_tek_d_0_01_kumulativ))))</f>
        <v>0</v>
      </c>
      <c r="Y59" s="330">
        <f>IF(X59=0, 0, SUM(K59,M59)*(1+'Inndata Bygg'!K62)*IF('Inndata Bygg'!H62&gt;50, 0, _xlfn.XLOOKUP('Inndata Bygg'!H62, År_etter_ferdigstillelse, f_tid_x_f_tek_d_0_01_kumulativ)))</f>
        <v>0</v>
      </c>
      <c r="Z59" s="336">
        <f>IF(X59=0, 0, SUM(N59:P59)*(1+'Inndata Bygg'!K62)*IF('Inndata Bygg'!H62&gt;50, 0, _xlfn.XLOOKUP('Inndata Bygg'!H62, År_etter_ferdigstillelse, f_tid_x_f_tek_d_0_01_kumulativ)))</f>
        <v>0</v>
      </c>
      <c r="AA59" s="336">
        <f>IF(X59=0, 0, ('Inndata Bygg'!G62+'Inndata Bygg'!O62+'Inndata Bygg'!S62)*(1+'Inndata Bygg'!K62)*Transport_utslipp_til_avfallshånderting_per_kg*IF('Inndata Bygg'!H62&gt;50, 0, _xlfn.XLOOKUP('Inndata Bygg'!H62, År_etter_ferdigstillelse, f_tid_x_f_tek_d_0_01_kumulativ)))</f>
        <v>0</v>
      </c>
      <c r="AB59" s="580" cm="1">
        <f t="array" ref="AB59">CalculateEmissionsFromIncinerationOfWaste('ZERO-B Beregning'!$D$17,'Inndata Bygg'!H62,'Inndata Bygg'!G62,'Inndata Bygg'!X62,'Inndata Bygg'!L62,'Inndata Bygg'!M62,'Inndata Bygg'!B62)</f>
        <v>0</v>
      </c>
      <c r="AC59" s="335">
        <f>IF(('Inndata Bygg'!G62+'Inndata Bygg'!O62+'Inndata Bygg'!S62) = 0, 0,('Inndata Bygg'!G62+'Inndata Bygg'!O62+'Inndata Bygg'!S62)*(('Inndata Bygg'!X62+'Inndata Bygg'!Y62+'Inndata Bygg'!AA62)*Transport_utslipp_til_avfallshånderting_per_kg+('Inndata Bygg'!Z62*'ZERO-B Beregning'!D161/1000)*IF('ZERO-B Beregning'!F162=0,'ZERO-B Beregning'!D162,'ZERO-B Beregning'!F162))*_xlfn.XLOOKUP(51, År_etter_ferdigstillelse, f_tid_x_f_tek_d_0_01))</f>
        <v>0</v>
      </c>
      <c r="AD59" s="577">
        <f>IF(('Inndata Bygg'!G62+'Inndata Bygg'!O62+'Inndata Bygg'!S62) = 0, 0,1.833*('Inndata Bygg'!G62*('Inndata Bygg'!L62*0.5+'Inndata Bygg'!M62*0.8)+'Inndata Bygg'!O62*'Inndata Bygg'!Q62+'Inndata Bygg'!S62*'Inndata Bygg'!U62)*AG59*_xlfn.XLOOKUP(51, År_etter_ferdigstillelse,  f_tid_x_f_tek_d_0_01))</f>
        <v>0</v>
      </c>
      <c r="AE59" s="575" cm="1">
        <f t="array" ref="AE59">CalculateEmissionsReductionFromReuse('ZERO-B Beregning'!$D$17,'Inndata Bygg'!H62,'Inndata Bygg'!G62,'Inndata Bygg'!Z62,'Inndata Bygg'!X62,'Inndata Bygg'!Y62,F59,'Inndata Bygg'!B62)</f>
        <v>0</v>
      </c>
      <c r="AF59" s="333" cm="1">
        <f t="array" ref="AF59">CalculateEmissionReductionFromRecycling('ZERO-B Beregning'!$D$17,'Inndata Bygg'!H62,'Inndata Bygg'!G62,'Inndata Bygg'!AA62,'Inndata Bygg'!X62,'Inndata Bygg'!Y62,F59,'Inndata Bygg'!B62)</f>
        <v>0</v>
      </c>
      <c r="AG59" s="572">
        <f>IF(('Inndata Bygg'!G62+'Inndata Bygg'!O62+'Inndata Bygg'!S62) = 0, 0,'Inndata Bygg'!X62*Faktorer!$Z$58)</f>
        <v>0</v>
      </c>
      <c r="AH59" s="573">
        <f>IF(('Inndata Bygg'!G62+'Inndata Bygg'!O62+'Inndata Bygg'!S62) = 0, 0,'Inndata Bygg'!Z62+('Inndata Bygg'!X62+'Inndata Bygg'!Y62)*(1-Faktorer!$Z$58)*0.5)</f>
        <v>0</v>
      </c>
      <c r="AI59" s="574">
        <f>IF(('Inndata Bygg'!G62+'Inndata Bygg'!O62+'Inndata Bygg'!S62) = 0, 0,'Inndata Bygg'!AA62+('Inndata Bygg'!X62+'Inndata Bygg'!Y62)*(1-Faktorer!$Z$58)*0.5)</f>
        <v>0</v>
      </c>
      <c r="AJ59" s="634"/>
      <c r="AK59" s="90">
        <f t="shared" si="2"/>
        <v>0</v>
      </c>
      <c r="AL59" s="91">
        <f>'Resultater detaljert Bygg'!N59</f>
        <v>0</v>
      </c>
      <c r="AM59" s="91" t="str">
        <f>IF(F59=0,"",('Inndata Bygg'!E62+'Inndata Bygg'!F62)*ROUNDDOWN('Inndata Bygg'!I62,0)*(1+'Inndata Bygg'!K62))</f>
        <v/>
      </c>
    </row>
    <row r="60" spans="2:39">
      <c r="B60" s="339">
        <f>'Inndata Bygg'!B63</f>
        <v>0</v>
      </c>
      <c r="C60" s="340">
        <f>'Inndata Bygg'!C63</f>
        <v>0</v>
      </c>
      <c r="D60" s="341">
        <f>'Inndata Bygg'!D63</f>
        <v>0</v>
      </c>
      <c r="E60" s="421" cm="1">
        <f t="array" ref="E60">SUM(IFERROR(F60:AD60,0))</f>
        <v>0</v>
      </c>
      <c r="F60" s="330">
        <f>'Inndata Bygg'!E63</f>
        <v>0</v>
      </c>
      <c r="G60" s="330">
        <f>IF('Inndata Bygg'!AB63="Ja", -0.8*'Resultater detaljert Bygg'!F60, 0)</f>
        <v>0</v>
      </c>
      <c r="H60" s="330">
        <f>IF('Inndata Bygg'!AC63="Ja", -0.4*'Resultater detaljert Bygg'!$F60, 0)</f>
        <v>0</v>
      </c>
      <c r="I60" s="330">
        <f>IF('Inndata Bygg'!AD63="Ja", -1*'Resultater detaljert Bygg'!$F60, 0)</f>
        <v>0</v>
      </c>
      <c r="J60" s="330">
        <f>'Inndata Bygg'!O63*'Inndata Bygg'!P63</f>
        <v>0</v>
      </c>
      <c r="K60" s="330">
        <f>MAX(-0.75*(SUM('Resultater detaljert Bygg'!F60:J60)),-'Inndata Bygg'!O63*'Inndata Bygg'!Q63)</f>
        <v>0</v>
      </c>
      <c r="L60" s="330">
        <f>'Inndata Bygg'!S63*'Inndata Bygg'!T63</f>
        <v>0</v>
      </c>
      <c r="M60" s="330">
        <f>MAX(-0.75*(SUM('Resultater detaljert Bygg'!F60:I60,L60)),-'Inndata Bygg'!S63*'Inndata Bygg'!U63)</f>
        <v>0</v>
      </c>
      <c r="N60" s="331">
        <f>'Inndata Bygg'!F63</f>
        <v>0</v>
      </c>
      <c r="O60" s="330">
        <f>'Inndata Bygg'!O63*'Inndata Bygg'!R63</f>
        <v>0</v>
      </c>
      <c r="P60" s="332">
        <f>'Inndata Bygg'!S63*'Inndata Bygg'!V63</f>
        <v>0</v>
      </c>
      <c r="Q60" s="493">
        <f>SUM(F60:J60,L60)*'Inndata Bygg'!K63</f>
        <v>0</v>
      </c>
      <c r="R60" s="333">
        <f>(K60+M60)*'Inndata Bygg'!K63</f>
        <v>0</v>
      </c>
      <c r="S60" s="493">
        <f>N60*'Inndata Bygg'!K63</f>
        <v>0</v>
      </c>
      <c r="T60" s="494">
        <f>'Inndata Bygg'!G63*'Inndata Bygg'!K63*Transport_utslipp_til_avfallshånderting_per_kg</f>
        <v>0</v>
      </c>
      <c r="U60" s="330">
        <f>IF('Inndata Bygg'!E63 = 0, 0, 1.833*'Inndata Bygg'!X63*'Inndata Bygg'!K63*('Inndata Bygg'!G63*('Inndata Bygg'!L63*0.5+'Inndata Bygg'!M63*0.8) + (12/44)*('Inndata Bygg'!O63*'Inndata Bygg'!Q63+'Inndata Bygg'!S63*'Inndata Bygg'!U63)))</f>
        <v>0</v>
      </c>
      <c r="V60" s="335" cm="1">
        <f t="array" ref="V60">CalculateBiogenicCarbonUptake('ZERO-B Beregning'!$D$17,'Inndata Bygg'!H63,'Inndata Bygg'!G63,'Inndata Bygg'!L63,F60,AB60,AC60,AD60)</f>
        <v>0</v>
      </c>
      <c r="W60" s="576" cm="1">
        <f t="array" ref="W60">CalculateCementCarbonUptake('ZERO-B Beregning'!$D$17,'Inndata Bygg'!H63,'Inndata Bygg'!G63,'Inndata Bygg'!N63)</f>
        <v>0</v>
      </c>
      <c r="X60" s="331" cm="1">
        <f t="array" ref="X60">IF(SUM(F60:J60,L60)=0, 0, SUM(F60:J60,L60)*(1+'Inndata Bygg'!K63)*IF('Inndata Bygg'!H63&gt;50, 0, _xlfn.XLOOKUP('Inndata Bygg'!H63, År_etter_ferdigstillelse, IF(VALUE(LEFT('Inndata Bygg'!B63, 2))= 49, f_tid_x_f_tek_d_0_037_kumulativ, f_tid_x_f_tek_d_0_01_kumulativ))))</f>
        <v>0</v>
      </c>
      <c r="Y60" s="330">
        <f>IF(X60=0, 0, SUM(K60,M60)*(1+'Inndata Bygg'!K63)*IF('Inndata Bygg'!H63&gt;50, 0, _xlfn.XLOOKUP('Inndata Bygg'!H63, År_etter_ferdigstillelse, f_tid_x_f_tek_d_0_01_kumulativ)))</f>
        <v>0</v>
      </c>
      <c r="Z60" s="336">
        <f>IF(X60=0, 0, SUM(N60:P60)*(1+'Inndata Bygg'!K63)*IF('Inndata Bygg'!H63&gt;50, 0, _xlfn.XLOOKUP('Inndata Bygg'!H63, År_etter_ferdigstillelse, f_tid_x_f_tek_d_0_01_kumulativ)))</f>
        <v>0</v>
      </c>
      <c r="AA60" s="336">
        <f>IF(X60=0, 0, ('Inndata Bygg'!G63+'Inndata Bygg'!O63+'Inndata Bygg'!S63)*(1+'Inndata Bygg'!K63)*Transport_utslipp_til_avfallshånderting_per_kg*IF('Inndata Bygg'!H63&gt;50, 0, _xlfn.XLOOKUP('Inndata Bygg'!H63, År_etter_ferdigstillelse, f_tid_x_f_tek_d_0_01_kumulativ)))</f>
        <v>0</v>
      </c>
      <c r="AB60" s="580" cm="1">
        <f t="array" ref="AB60">CalculateEmissionsFromIncinerationOfWaste('ZERO-B Beregning'!$D$17,'Inndata Bygg'!H63,'Inndata Bygg'!G63,'Inndata Bygg'!X63,'Inndata Bygg'!L63,'Inndata Bygg'!M63,'Inndata Bygg'!B63)</f>
        <v>0</v>
      </c>
      <c r="AC60" s="335">
        <f>IF(('Inndata Bygg'!G63+'Inndata Bygg'!O63+'Inndata Bygg'!S63) = 0, 0,('Inndata Bygg'!G63+'Inndata Bygg'!O63+'Inndata Bygg'!S63)*(('Inndata Bygg'!X63+'Inndata Bygg'!Y63+'Inndata Bygg'!AA63)*Transport_utslipp_til_avfallshånderting_per_kg+('Inndata Bygg'!Z63*'ZERO-B Beregning'!D162/1000)*IF('ZERO-B Beregning'!F163=0,'ZERO-B Beregning'!D163,'ZERO-B Beregning'!F163))*_xlfn.XLOOKUP(51, År_etter_ferdigstillelse, f_tid_x_f_tek_d_0_01))</f>
        <v>0</v>
      </c>
      <c r="AD60" s="577">
        <f>IF(('Inndata Bygg'!G63+'Inndata Bygg'!O63+'Inndata Bygg'!S63) = 0, 0,1.833*('Inndata Bygg'!G63*('Inndata Bygg'!L63*0.5+'Inndata Bygg'!M63*0.8)+'Inndata Bygg'!O63*'Inndata Bygg'!Q63+'Inndata Bygg'!S63*'Inndata Bygg'!U63)*AG60*_xlfn.XLOOKUP(51, År_etter_ferdigstillelse,  f_tid_x_f_tek_d_0_01))</f>
        <v>0</v>
      </c>
      <c r="AE60" s="575" cm="1">
        <f t="array" ref="AE60">CalculateEmissionsReductionFromReuse('ZERO-B Beregning'!$D$17,'Inndata Bygg'!H63,'Inndata Bygg'!G63,'Inndata Bygg'!Z63,'Inndata Bygg'!X63,'Inndata Bygg'!Y63,F60,'Inndata Bygg'!B63)</f>
        <v>0</v>
      </c>
      <c r="AF60" s="333" cm="1">
        <f t="array" ref="AF60">CalculateEmissionReductionFromRecycling('ZERO-B Beregning'!$D$17,'Inndata Bygg'!H63,'Inndata Bygg'!G63,'Inndata Bygg'!AA63,'Inndata Bygg'!X63,'Inndata Bygg'!Y63,F60,'Inndata Bygg'!B63)</f>
        <v>0</v>
      </c>
      <c r="AG60" s="572">
        <f>IF(('Inndata Bygg'!G63+'Inndata Bygg'!O63+'Inndata Bygg'!S63) = 0, 0,'Inndata Bygg'!X63*Faktorer!$Z$58)</f>
        <v>0</v>
      </c>
      <c r="AH60" s="573">
        <f>IF(('Inndata Bygg'!G63+'Inndata Bygg'!O63+'Inndata Bygg'!S63) = 0, 0,'Inndata Bygg'!Z63+('Inndata Bygg'!X63+'Inndata Bygg'!Y63)*(1-Faktorer!$Z$58)*0.5)</f>
        <v>0</v>
      </c>
      <c r="AI60" s="574">
        <f>IF(('Inndata Bygg'!G63+'Inndata Bygg'!O63+'Inndata Bygg'!S63) = 0, 0,'Inndata Bygg'!AA63+('Inndata Bygg'!X63+'Inndata Bygg'!Y63)*(1-Faktorer!$Z$58)*0.5)</f>
        <v>0</v>
      </c>
      <c r="AJ60" s="634"/>
      <c r="AK60" s="90">
        <f t="shared" si="2"/>
        <v>0</v>
      </c>
      <c r="AL60" s="91">
        <f>'Resultater detaljert Bygg'!N60</f>
        <v>0</v>
      </c>
      <c r="AM60" s="91" t="str">
        <f>IF(F60=0,"",('Inndata Bygg'!E63+'Inndata Bygg'!F63)*ROUNDDOWN('Inndata Bygg'!I63,0)*(1+'Inndata Bygg'!K63))</f>
        <v/>
      </c>
    </row>
    <row r="61" spans="2:39">
      <c r="B61" s="339">
        <f>'Inndata Bygg'!B64</f>
        <v>0</v>
      </c>
      <c r="C61" s="340">
        <f>'Inndata Bygg'!C64</f>
        <v>0</v>
      </c>
      <c r="D61" s="341">
        <f>'Inndata Bygg'!D64</f>
        <v>0</v>
      </c>
      <c r="E61" s="421" cm="1">
        <f t="array" ref="E61">SUM(IFERROR(F61:AD61,0))</f>
        <v>0</v>
      </c>
      <c r="F61" s="330">
        <f>'Inndata Bygg'!E64</f>
        <v>0</v>
      </c>
      <c r="G61" s="330">
        <f>IF('Inndata Bygg'!AB64="Ja", -0.8*'Resultater detaljert Bygg'!F61, 0)</f>
        <v>0</v>
      </c>
      <c r="H61" s="330">
        <f>IF('Inndata Bygg'!AC64="Ja", -0.4*'Resultater detaljert Bygg'!$F61, 0)</f>
        <v>0</v>
      </c>
      <c r="I61" s="330">
        <f>IF('Inndata Bygg'!AD64="Ja", -1*'Resultater detaljert Bygg'!$F61, 0)</f>
        <v>0</v>
      </c>
      <c r="J61" s="330">
        <f>'Inndata Bygg'!O64*'Inndata Bygg'!P64</f>
        <v>0</v>
      </c>
      <c r="K61" s="330">
        <f>MAX(-0.75*(SUM('Resultater detaljert Bygg'!F61:J61)),-'Inndata Bygg'!O64*'Inndata Bygg'!Q64)</f>
        <v>0</v>
      </c>
      <c r="L61" s="330">
        <f>'Inndata Bygg'!S64*'Inndata Bygg'!T64</f>
        <v>0</v>
      </c>
      <c r="M61" s="330">
        <f>MAX(-0.75*(SUM('Resultater detaljert Bygg'!F61:I61,L61)),-'Inndata Bygg'!S64*'Inndata Bygg'!U64)</f>
        <v>0</v>
      </c>
      <c r="N61" s="331">
        <f>'Inndata Bygg'!F64</f>
        <v>0</v>
      </c>
      <c r="O61" s="330">
        <f>'Inndata Bygg'!O64*'Inndata Bygg'!R64</f>
        <v>0</v>
      </c>
      <c r="P61" s="332">
        <f>'Inndata Bygg'!S64*'Inndata Bygg'!V64</f>
        <v>0</v>
      </c>
      <c r="Q61" s="493">
        <f>SUM(F61:J61,L61)*'Inndata Bygg'!K64</f>
        <v>0</v>
      </c>
      <c r="R61" s="333">
        <f>(K61+M61)*'Inndata Bygg'!K64</f>
        <v>0</v>
      </c>
      <c r="S61" s="493">
        <f>N61*'Inndata Bygg'!K64</f>
        <v>0</v>
      </c>
      <c r="T61" s="494">
        <f>'Inndata Bygg'!G64*'Inndata Bygg'!K64*Transport_utslipp_til_avfallshånderting_per_kg</f>
        <v>0</v>
      </c>
      <c r="U61" s="330">
        <f>IF('Inndata Bygg'!E64 = 0, 0, 1.833*'Inndata Bygg'!X64*'Inndata Bygg'!K64*('Inndata Bygg'!G64*('Inndata Bygg'!L64*0.5+'Inndata Bygg'!M64*0.8) + (12/44)*('Inndata Bygg'!O64*'Inndata Bygg'!Q64+'Inndata Bygg'!S64*'Inndata Bygg'!U64)))</f>
        <v>0</v>
      </c>
      <c r="V61" s="335" cm="1">
        <f t="array" ref="V61">CalculateBiogenicCarbonUptake('ZERO-B Beregning'!$D$17,'Inndata Bygg'!H64,'Inndata Bygg'!G64,'Inndata Bygg'!L64,F61,AB61,AC61,AD61)</f>
        <v>0</v>
      </c>
      <c r="W61" s="576" cm="1">
        <f t="array" ref="W61">CalculateCementCarbonUptake('ZERO-B Beregning'!$D$17,'Inndata Bygg'!H64,'Inndata Bygg'!G64,'Inndata Bygg'!N64)</f>
        <v>0</v>
      </c>
      <c r="X61" s="331" cm="1">
        <f t="array" ref="X61">IF(SUM(F61:J61,L61)=0, 0, SUM(F61:J61,L61)*(1+'Inndata Bygg'!K64)*IF('Inndata Bygg'!H64&gt;50, 0, _xlfn.XLOOKUP('Inndata Bygg'!H64, År_etter_ferdigstillelse, IF(VALUE(LEFT('Inndata Bygg'!B64, 2))= 49, f_tid_x_f_tek_d_0_037_kumulativ, f_tid_x_f_tek_d_0_01_kumulativ))))</f>
        <v>0</v>
      </c>
      <c r="Y61" s="330">
        <f>IF(X61=0, 0, SUM(K61,M61)*(1+'Inndata Bygg'!K64)*IF('Inndata Bygg'!H64&gt;50, 0, _xlfn.XLOOKUP('Inndata Bygg'!H64, År_etter_ferdigstillelse, f_tid_x_f_tek_d_0_01_kumulativ)))</f>
        <v>0</v>
      </c>
      <c r="Z61" s="336">
        <f>IF(X61=0, 0, SUM(N61:P61)*(1+'Inndata Bygg'!K64)*IF('Inndata Bygg'!H64&gt;50, 0, _xlfn.XLOOKUP('Inndata Bygg'!H64, År_etter_ferdigstillelse, f_tid_x_f_tek_d_0_01_kumulativ)))</f>
        <v>0</v>
      </c>
      <c r="AA61" s="336">
        <f>IF(X61=0, 0, ('Inndata Bygg'!G64+'Inndata Bygg'!O64+'Inndata Bygg'!S64)*(1+'Inndata Bygg'!K64)*Transport_utslipp_til_avfallshånderting_per_kg*IF('Inndata Bygg'!H64&gt;50, 0, _xlfn.XLOOKUP('Inndata Bygg'!H64, År_etter_ferdigstillelse, f_tid_x_f_tek_d_0_01_kumulativ)))</f>
        <v>0</v>
      </c>
      <c r="AB61" s="580" cm="1">
        <f t="array" ref="AB61">CalculateEmissionsFromIncinerationOfWaste('ZERO-B Beregning'!$D$17,'Inndata Bygg'!H64,'Inndata Bygg'!G64,'Inndata Bygg'!X64,'Inndata Bygg'!L64,'Inndata Bygg'!M64,'Inndata Bygg'!B64)</f>
        <v>0</v>
      </c>
      <c r="AC61" s="335">
        <f>IF(('Inndata Bygg'!G64+'Inndata Bygg'!O64+'Inndata Bygg'!S64) = 0, 0,('Inndata Bygg'!G64+'Inndata Bygg'!O64+'Inndata Bygg'!S64)*(('Inndata Bygg'!X64+'Inndata Bygg'!Y64+'Inndata Bygg'!AA64)*Transport_utslipp_til_avfallshånderting_per_kg+('Inndata Bygg'!Z64*'ZERO-B Beregning'!D163/1000)*IF('ZERO-B Beregning'!F164=0,'ZERO-B Beregning'!D164,'ZERO-B Beregning'!F164))*_xlfn.XLOOKUP(51, År_etter_ferdigstillelse, f_tid_x_f_tek_d_0_01))</f>
        <v>0</v>
      </c>
      <c r="AD61" s="577">
        <f>IF(('Inndata Bygg'!G64+'Inndata Bygg'!O64+'Inndata Bygg'!S64) = 0, 0,1.833*('Inndata Bygg'!G64*('Inndata Bygg'!L64*0.5+'Inndata Bygg'!M64*0.8)+'Inndata Bygg'!O64*'Inndata Bygg'!Q64+'Inndata Bygg'!S64*'Inndata Bygg'!U64)*AG61*_xlfn.XLOOKUP(51, År_etter_ferdigstillelse,  f_tid_x_f_tek_d_0_01))</f>
        <v>0</v>
      </c>
      <c r="AE61" s="575" cm="1">
        <f t="array" ref="AE61">CalculateEmissionsReductionFromReuse('ZERO-B Beregning'!$D$17,'Inndata Bygg'!H64,'Inndata Bygg'!G64,'Inndata Bygg'!Z64,'Inndata Bygg'!X64,'Inndata Bygg'!Y64,F61,'Inndata Bygg'!B64)</f>
        <v>0</v>
      </c>
      <c r="AF61" s="333" cm="1">
        <f t="array" ref="AF61">CalculateEmissionReductionFromRecycling('ZERO-B Beregning'!$D$17,'Inndata Bygg'!H64,'Inndata Bygg'!G64,'Inndata Bygg'!AA64,'Inndata Bygg'!X64,'Inndata Bygg'!Y64,F61,'Inndata Bygg'!B64)</f>
        <v>0</v>
      </c>
      <c r="AG61" s="572">
        <f>IF(('Inndata Bygg'!G64+'Inndata Bygg'!O64+'Inndata Bygg'!S64) = 0, 0,'Inndata Bygg'!X64*Faktorer!$Z$58)</f>
        <v>0</v>
      </c>
      <c r="AH61" s="573">
        <f>IF(('Inndata Bygg'!G64+'Inndata Bygg'!O64+'Inndata Bygg'!S64) = 0, 0,'Inndata Bygg'!Z64+('Inndata Bygg'!X64+'Inndata Bygg'!Y64)*(1-Faktorer!$Z$58)*0.5)</f>
        <v>0</v>
      </c>
      <c r="AI61" s="574">
        <f>IF(('Inndata Bygg'!G64+'Inndata Bygg'!O64+'Inndata Bygg'!S64) = 0, 0,'Inndata Bygg'!AA64+('Inndata Bygg'!X64+'Inndata Bygg'!Y64)*(1-Faktorer!$Z$58)*0.5)</f>
        <v>0</v>
      </c>
      <c r="AJ61" s="634"/>
      <c r="AK61" s="90">
        <f t="shared" si="2"/>
        <v>0</v>
      </c>
      <c r="AL61" s="91">
        <f>'Resultater detaljert Bygg'!N61</f>
        <v>0</v>
      </c>
      <c r="AM61" s="91" t="str">
        <f>IF(F61=0,"",('Inndata Bygg'!E64+'Inndata Bygg'!F64)*ROUNDDOWN('Inndata Bygg'!I64,0)*(1+'Inndata Bygg'!K64))</f>
        <v/>
      </c>
    </row>
    <row r="62" spans="2:39">
      <c r="B62" s="339">
        <f>'Inndata Bygg'!B65</f>
        <v>0</v>
      </c>
      <c r="C62" s="340">
        <f>'Inndata Bygg'!C65</f>
        <v>0</v>
      </c>
      <c r="D62" s="341">
        <f>'Inndata Bygg'!D65</f>
        <v>0</v>
      </c>
      <c r="E62" s="421" cm="1">
        <f t="array" ref="E62">SUM(IFERROR(F62:AD62,0))</f>
        <v>0</v>
      </c>
      <c r="F62" s="330">
        <f>'Inndata Bygg'!E65</f>
        <v>0</v>
      </c>
      <c r="G62" s="330">
        <f>IF('Inndata Bygg'!AB65="Ja", -0.8*'Resultater detaljert Bygg'!F62, 0)</f>
        <v>0</v>
      </c>
      <c r="H62" s="330">
        <f>IF('Inndata Bygg'!AC65="Ja", -0.4*'Resultater detaljert Bygg'!$F62, 0)</f>
        <v>0</v>
      </c>
      <c r="I62" s="330">
        <f>IF('Inndata Bygg'!AD65="Ja", -1*'Resultater detaljert Bygg'!$F62, 0)</f>
        <v>0</v>
      </c>
      <c r="J62" s="330">
        <f>'Inndata Bygg'!O65*'Inndata Bygg'!P65</f>
        <v>0</v>
      </c>
      <c r="K62" s="330">
        <f>MAX(-0.75*(SUM('Resultater detaljert Bygg'!F62:J62)),-'Inndata Bygg'!O65*'Inndata Bygg'!Q65)</f>
        <v>0</v>
      </c>
      <c r="L62" s="330">
        <f>'Inndata Bygg'!S65*'Inndata Bygg'!T65</f>
        <v>0</v>
      </c>
      <c r="M62" s="330">
        <f>MAX(-0.75*(SUM('Resultater detaljert Bygg'!F62:I62,L62)),-'Inndata Bygg'!S65*'Inndata Bygg'!U65)</f>
        <v>0</v>
      </c>
      <c r="N62" s="331">
        <f>'Inndata Bygg'!F65</f>
        <v>0</v>
      </c>
      <c r="O62" s="330">
        <f>'Inndata Bygg'!O65*'Inndata Bygg'!R65</f>
        <v>0</v>
      </c>
      <c r="P62" s="332">
        <f>'Inndata Bygg'!S65*'Inndata Bygg'!V65</f>
        <v>0</v>
      </c>
      <c r="Q62" s="493">
        <f>SUM(F62:J62,L62)*'Inndata Bygg'!K65</f>
        <v>0</v>
      </c>
      <c r="R62" s="333">
        <f>(K62+M62)*'Inndata Bygg'!K65</f>
        <v>0</v>
      </c>
      <c r="S62" s="493">
        <f>N62*'Inndata Bygg'!K65</f>
        <v>0</v>
      </c>
      <c r="T62" s="494">
        <f>'Inndata Bygg'!G65*'Inndata Bygg'!K65*Transport_utslipp_til_avfallshånderting_per_kg</f>
        <v>0</v>
      </c>
      <c r="U62" s="330">
        <f>IF('Inndata Bygg'!E65 = 0, 0, 1.833*'Inndata Bygg'!X65*'Inndata Bygg'!K65*('Inndata Bygg'!G65*('Inndata Bygg'!L65*0.5+'Inndata Bygg'!M65*0.8) + (12/44)*('Inndata Bygg'!O65*'Inndata Bygg'!Q65+'Inndata Bygg'!S65*'Inndata Bygg'!U65)))</f>
        <v>0</v>
      </c>
      <c r="V62" s="335" cm="1">
        <f t="array" ref="V62">CalculateBiogenicCarbonUptake('ZERO-B Beregning'!$D$17,'Inndata Bygg'!H65,'Inndata Bygg'!G65,'Inndata Bygg'!L65,F62,AB62,AC62,AD62)</f>
        <v>0</v>
      </c>
      <c r="W62" s="576" cm="1">
        <f t="array" ref="W62">CalculateCementCarbonUptake('ZERO-B Beregning'!$D$17,'Inndata Bygg'!H65,'Inndata Bygg'!G65,'Inndata Bygg'!N65)</f>
        <v>0</v>
      </c>
      <c r="X62" s="331" cm="1">
        <f t="array" ref="X62">IF(SUM(F62:J62,L62)=0, 0, SUM(F62:J62,L62)*(1+'Inndata Bygg'!K65)*IF('Inndata Bygg'!H65&gt;50, 0, _xlfn.XLOOKUP('Inndata Bygg'!H65, År_etter_ferdigstillelse, IF(VALUE(LEFT('Inndata Bygg'!B65, 2))= 49, f_tid_x_f_tek_d_0_037_kumulativ, f_tid_x_f_tek_d_0_01_kumulativ))))</f>
        <v>0</v>
      </c>
      <c r="Y62" s="330">
        <f>IF(X62=0, 0, SUM(K62,M62)*(1+'Inndata Bygg'!K65)*IF('Inndata Bygg'!H65&gt;50, 0, _xlfn.XLOOKUP('Inndata Bygg'!H65, År_etter_ferdigstillelse, f_tid_x_f_tek_d_0_01_kumulativ)))</f>
        <v>0</v>
      </c>
      <c r="Z62" s="336">
        <f>IF(X62=0, 0, SUM(N62:P62)*(1+'Inndata Bygg'!K65)*IF('Inndata Bygg'!H65&gt;50, 0, _xlfn.XLOOKUP('Inndata Bygg'!H65, År_etter_ferdigstillelse, f_tid_x_f_tek_d_0_01_kumulativ)))</f>
        <v>0</v>
      </c>
      <c r="AA62" s="336">
        <f>IF(X62=0, 0, ('Inndata Bygg'!G65+'Inndata Bygg'!O65+'Inndata Bygg'!S65)*(1+'Inndata Bygg'!K65)*Transport_utslipp_til_avfallshånderting_per_kg*IF('Inndata Bygg'!H65&gt;50, 0, _xlfn.XLOOKUP('Inndata Bygg'!H65, År_etter_ferdigstillelse, f_tid_x_f_tek_d_0_01_kumulativ)))</f>
        <v>0</v>
      </c>
      <c r="AB62" s="580" cm="1">
        <f t="array" ref="AB62">CalculateEmissionsFromIncinerationOfWaste('ZERO-B Beregning'!$D$17,'Inndata Bygg'!H65,'Inndata Bygg'!G65,'Inndata Bygg'!X65,'Inndata Bygg'!L65,'Inndata Bygg'!M65,'Inndata Bygg'!B65)</f>
        <v>0</v>
      </c>
      <c r="AC62" s="335">
        <f>IF(('Inndata Bygg'!G65+'Inndata Bygg'!O65+'Inndata Bygg'!S65) = 0, 0,('Inndata Bygg'!G65+'Inndata Bygg'!O65+'Inndata Bygg'!S65)*(('Inndata Bygg'!X65+'Inndata Bygg'!Y65+'Inndata Bygg'!AA65)*Transport_utslipp_til_avfallshånderting_per_kg+('Inndata Bygg'!Z65*'ZERO-B Beregning'!D164/1000)*IF('ZERO-B Beregning'!F165=0,'ZERO-B Beregning'!D165,'ZERO-B Beregning'!F165))*_xlfn.XLOOKUP(51, År_etter_ferdigstillelse, f_tid_x_f_tek_d_0_01))</f>
        <v>0</v>
      </c>
      <c r="AD62" s="577">
        <f>IF(('Inndata Bygg'!G65+'Inndata Bygg'!O65+'Inndata Bygg'!S65) = 0, 0,1.833*('Inndata Bygg'!G65*('Inndata Bygg'!L65*0.5+'Inndata Bygg'!M65*0.8)+'Inndata Bygg'!O65*'Inndata Bygg'!Q65+'Inndata Bygg'!S65*'Inndata Bygg'!U65)*AG62*_xlfn.XLOOKUP(51, År_etter_ferdigstillelse,  f_tid_x_f_tek_d_0_01))</f>
        <v>0</v>
      </c>
      <c r="AE62" s="575" cm="1">
        <f t="array" ref="AE62">CalculateEmissionsReductionFromReuse('ZERO-B Beregning'!$D$17,'Inndata Bygg'!H65,'Inndata Bygg'!G65,'Inndata Bygg'!Z65,'Inndata Bygg'!X65,'Inndata Bygg'!Y65,F62,'Inndata Bygg'!B65)</f>
        <v>0</v>
      </c>
      <c r="AF62" s="333" cm="1">
        <f t="array" ref="AF62">CalculateEmissionReductionFromRecycling('ZERO-B Beregning'!$D$17,'Inndata Bygg'!H65,'Inndata Bygg'!G65,'Inndata Bygg'!AA65,'Inndata Bygg'!X65,'Inndata Bygg'!Y65,F62,'Inndata Bygg'!B65)</f>
        <v>0</v>
      </c>
      <c r="AG62" s="572">
        <f>IF(('Inndata Bygg'!G65+'Inndata Bygg'!O65+'Inndata Bygg'!S65) = 0, 0,'Inndata Bygg'!X65*Faktorer!$Z$58)</f>
        <v>0</v>
      </c>
      <c r="AH62" s="573">
        <f>IF(('Inndata Bygg'!G65+'Inndata Bygg'!O65+'Inndata Bygg'!S65) = 0, 0,'Inndata Bygg'!Z65+('Inndata Bygg'!X65+'Inndata Bygg'!Y65)*(1-Faktorer!$Z$58)*0.5)</f>
        <v>0</v>
      </c>
      <c r="AI62" s="574">
        <f>IF(('Inndata Bygg'!G65+'Inndata Bygg'!O65+'Inndata Bygg'!S65) = 0, 0,'Inndata Bygg'!AA65+('Inndata Bygg'!X65+'Inndata Bygg'!Y65)*(1-Faktorer!$Z$58)*0.5)</f>
        <v>0</v>
      </c>
      <c r="AJ62" s="634"/>
      <c r="AK62" s="90">
        <f t="shared" si="2"/>
        <v>0</v>
      </c>
      <c r="AL62" s="91">
        <f>'Resultater detaljert Bygg'!N62</f>
        <v>0</v>
      </c>
      <c r="AM62" s="91" t="str">
        <f>IF(F62=0,"",('Inndata Bygg'!E65+'Inndata Bygg'!F65)*ROUNDDOWN('Inndata Bygg'!I65,0)*(1+'Inndata Bygg'!K65))</f>
        <v/>
      </c>
    </row>
    <row r="63" spans="2:39">
      <c r="B63" s="339">
        <f>'Inndata Bygg'!B66</f>
        <v>0</v>
      </c>
      <c r="C63" s="340">
        <f>'Inndata Bygg'!C66</f>
        <v>0</v>
      </c>
      <c r="D63" s="341">
        <f>'Inndata Bygg'!D66</f>
        <v>0</v>
      </c>
      <c r="E63" s="421" cm="1">
        <f t="array" ref="E63">SUM(IFERROR(F63:AD63,0))</f>
        <v>0</v>
      </c>
      <c r="F63" s="330">
        <f>'Inndata Bygg'!E66</f>
        <v>0</v>
      </c>
      <c r="G63" s="330">
        <f>IF('Inndata Bygg'!AB66="Ja", -0.8*'Resultater detaljert Bygg'!F63, 0)</f>
        <v>0</v>
      </c>
      <c r="H63" s="330">
        <f>IF('Inndata Bygg'!AC66="Ja", -0.4*'Resultater detaljert Bygg'!$F63, 0)</f>
        <v>0</v>
      </c>
      <c r="I63" s="330">
        <f>IF('Inndata Bygg'!AD66="Ja", -1*'Resultater detaljert Bygg'!$F63, 0)</f>
        <v>0</v>
      </c>
      <c r="J63" s="330">
        <f>'Inndata Bygg'!O66*'Inndata Bygg'!P66</f>
        <v>0</v>
      </c>
      <c r="K63" s="330">
        <f>MAX(-0.75*(SUM('Resultater detaljert Bygg'!F63:J63)),-'Inndata Bygg'!O66*'Inndata Bygg'!Q66)</f>
        <v>0</v>
      </c>
      <c r="L63" s="330">
        <f>'Inndata Bygg'!S66*'Inndata Bygg'!T66</f>
        <v>0</v>
      </c>
      <c r="M63" s="330">
        <f>MAX(-0.75*(SUM('Resultater detaljert Bygg'!F63:I63,L63)),-'Inndata Bygg'!S66*'Inndata Bygg'!U66)</f>
        <v>0</v>
      </c>
      <c r="N63" s="331">
        <f>'Inndata Bygg'!F66</f>
        <v>0</v>
      </c>
      <c r="O63" s="330">
        <f>'Inndata Bygg'!O66*'Inndata Bygg'!R66</f>
        <v>0</v>
      </c>
      <c r="P63" s="332">
        <f>'Inndata Bygg'!S66*'Inndata Bygg'!V66</f>
        <v>0</v>
      </c>
      <c r="Q63" s="493">
        <f>SUM(F63:J63,L63)*'Inndata Bygg'!K66</f>
        <v>0</v>
      </c>
      <c r="R63" s="333">
        <f>(K63+M63)*'Inndata Bygg'!K66</f>
        <v>0</v>
      </c>
      <c r="S63" s="493">
        <f>N63*'Inndata Bygg'!K66</f>
        <v>0</v>
      </c>
      <c r="T63" s="494">
        <f>'Inndata Bygg'!G66*'Inndata Bygg'!K66*Transport_utslipp_til_avfallshånderting_per_kg</f>
        <v>0</v>
      </c>
      <c r="U63" s="330">
        <f>IF('Inndata Bygg'!E66 = 0, 0, 1.833*'Inndata Bygg'!X66*'Inndata Bygg'!K66*('Inndata Bygg'!G66*('Inndata Bygg'!L66*0.5+'Inndata Bygg'!M66*0.8) + (12/44)*('Inndata Bygg'!O66*'Inndata Bygg'!Q66+'Inndata Bygg'!S66*'Inndata Bygg'!U66)))</f>
        <v>0</v>
      </c>
      <c r="V63" s="335" cm="1">
        <f t="array" ref="V63">CalculateBiogenicCarbonUptake('ZERO-B Beregning'!$D$17,'Inndata Bygg'!H66,'Inndata Bygg'!G66,'Inndata Bygg'!L66,F63,AB63,AC63,AD63)</f>
        <v>0</v>
      </c>
      <c r="W63" s="576" cm="1">
        <f t="array" ref="W63">CalculateCementCarbonUptake('ZERO-B Beregning'!$D$17,'Inndata Bygg'!H66,'Inndata Bygg'!G66,'Inndata Bygg'!N66)</f>
        <v>0</v>
      </c>
      <c r="X63" s="331" cm="1">
        <f t="array" ref="X63">IF(SUM(F63:J63,L63)=0, 0, SUM(F63:J63,L63)*(1+'Inndata Bygg'!K66)*IF('Inndata Bygg'!H66&gt;50, 0, _xlfn.XLOOKUP('Inndata Bygg'!H66, År_etter_ferdigstillelse, IF(VALUE(LEFT('Inndata Bygg'!B66, 2))= 49, f_tid_x_f_tek_d_0_037_kumulativ, f_tid_x_f_tek_d_0_01_kumulativ))))</f>
        <v>0</v>
      </c>
      <c r="Y63" s="330">
        <f>IF(X63=0, 0, SUM(K63,M63)*(1+'Inndata Bygg'!K66)*IF('Inndata Bygg'!H66&gt;50, 0, _xlfn.XLOOKUP('Inndata Bygg'!H66, År_etter_ferdigstillelse, f_tid_x_f_tek_d_0_01_kumulativ)))</f>
        <v>0</v>
      </c>
      <c r="Z63" s="336">
        <f>IF(X63=0, 0, SUM(N63:P63)*(1+'Inndata Bygg'!K66)*IF('Inndata Bygg'!H66&gt;50, 0, _xlfn.XLOOKUP('Inndata Bygg'!H66, År_etter_ferdigstillelse, f_tid_x_f_tek_d_0_01_kumulativ)))</f>
        <v>0</v>
      </c>
      <c r="AA63" s="336">
        <f>IF(X63=0, 0, ('Inndata Bygg'!G66+'Inndata Bygg'!O66+'Inndata Bygg'!S66)*(1+'Inndata Bygg'!K66)*Transport_utslipp_til_avfallshånderting_per_kg*IF('Inndata Bygg'!H66&gt;50, 0, _xlfn.XLOOKUP('Inndata Bygg'!H66, År_etter_ferdigstillelse, f_tid_x_f_tek_d_0_01_kumulativ)))</f>
        <v>0</v>
      </c>
      <c r="AB63" s="580" cm="1">
        <f t="array" ref="AB63">CalculateEmissionsFromIncinerationOfWaste('ZERO-B Beregning'!$D$17,'Inndata Bygg'!H66,'Inndata Bygg'!G66,'Inndata Bygg'!X66,'Inndata Bygg'!L66,'Inndata Bygg'!M66,'Inndata Bygg'!B66)</f>
        <v>0</v>
      </c>
      <c r="AC63" s="335">
        <f>IF(('Inndata Bygg'!G66+'Inndata Bygg'!O66+'Inndata Bygg'!S66) = 0, 0,('Inndata Bygg'!G66+'Inndata Bygg'!O66+'Inndata Bygg'!S66)*(('Inndata Bygg'!X66+'Inndata Bygg'!Y66+'Inndata Bygg'!AA66)*Transport_utslipp_til_avfallshånderting_per_kg+('Inndata Bygg'!Z66*'ZERO-B Beregning'!D165/1000)*IF('ZERO-B Beregning'!F166=0,'ZERO-B Beregning'!D166,'ZERO-B Beregning'!F166))*_xlfn.XLOOKUP(51, År_etter_ferdigstillelse, f_tid_x_f_tek_d_0_01))</f>
        <v>0</v>
      </c>
      <c r="AD63" s="577">
        <f>IF(('Inndata Bygg'!G66+'Inndata Bygg'!O66+'Inndata Bygg'!S66) = 0, 0,1.833*('Inndata Bygg'!G66*('Inndata Bygg'!L66*0.5+'Inndata Bygg'!M66*0.8)+'Inndata Bygg'!O66*'Inndata Bygg'!Q66+'Inndata Bygg'!S66*'Inndata Bygg'!U66)*AG63*_xlfn.XLOOKUP(51, År_etter_ferdigstillelse,  f_tid_x_f_tek_d_0_01))</f>
        <v>0</v>
      </c>
      <c r="AE63" s="575" cm="1">
        <f t="array" ref="AE63">CalculateEmissionsReductionFromReuse('ZERO-B Beregning'!$D$17,'Inndata Bygg'!H66,'Inndata Bygg'!G66,'Inndata Bygg'!Z66,'Inndata Bygg'!X66,'Inndata Bygg'!Y66,F63,'Inndata Bygg'!B66)</f>
        <v>0</v>
      </c>
      <c r="AF63" s="333" cm="1">
        <f t="array" ref="AF63">CalculateEmissionReductionFromRecycling('ZERO-B Beregning'!$D$17,'Inndata Bygg'!H66,'Inndata Bygg'!G66,'Inndata Bygg'!AA66,'Inndata Bygg'!X66,'Inndata Bygg'!Y66,F63,'Inndata Bygg'!B66)</f>
        <v>0</v>
      </c>
      <c r="AG63" s="572">
        <f>IF(('Inndata Bygg'!G66+'Inndata Bygg'!O66+'Inndata Bygg'!S66) = 0, 0,'Inndata Bygg'!X66*Faktorer!$Z$58)</f>
        <v>0</v>
      </c>
      <c r="AH63" s="573">
        <f>IF(('Inndata Bygg'!G66+'Inndata Bygg'!O66+'Inndata Bygg'!S66) = 0, 0,'Inndata Bygg'!Z66+('Inndata Bygg'!X66+'Inndata Bygg'!Y66)*(1-Faktorer!$Z$58)*0.5)</f>
        <v>0</v>
      </c>
      <c r="AI63" s="574">
        <f>IF(('Inndata Bygg'!G66+'Inndata Bygg'!O66+'Inndata Bygg'!S66) = 0, 0,'Inndata Bygg'!AA66+('Inndata Bygg'!X66+'Inndata Bygg'!Y66)*(1-Faktorer!$Z$58)*0.5)</f>
        <v>0</v>
      </c>
      <c r="AJ63" s="634"/>
      <c r="AK63" s="90">
        <f t="shared" si="2"/>
        <v>0</v>
      </c>
      <c r="AL63" s="91">
        <f>'Resultater detaljert Bygg'!N63</f>
        <v>0</v>
      </c>
      <c r="AM63" s="91" t="str">
        <f>IF(F63=0,"",('Inndata Bygg'!E66+'Inndata Bygg'!F66)*ROUNDDOWN('Inndata Bygg'!I66,0)*(1+'Inndata Bygg'!K66))</f>
        <v/>
      </c>
    </row>
    <row r="64" spans="2:39">
      <c r="B64" s="339">
        <f>'Inndata Bygg'!B67</f>
        <v>0</v>
      </c>
      <c r="C64" s="340">
        <f>'Inndata Bygg'!C67</f>
        <v>0</v>
      </c>
      <c r="D64" s="341">
        <f>'Inndata Bygg'!D67</f>
        <v>0</v>
      </c>
      <c r="E64" s="421" cm="1">
        <f t="array" ref="E64">SUM(IFERROR(F64:AD64,0))</f>
        <v>0</v>
      </c>
      <c r="F64" s="330">
        <f>'Inndata Bygg'!E67</f>
        <v>0</v>
      </c>
      <c r="G64" s="330">
        <f>IF('Inndata Bygg'!AB67="Ja", -0.8*'Resultater detaljert Bygg'!F64, 0)</f>
        <v>0</v>
      </c>
      <c r="H64" s="330">
        <f>IF('Inndata Bygg'!AC67="Ja", -0.4*'Resultater detaljert Bygg'!$F64, 0)</f>
        <v>0</v>
      </c>
      <c r="I64" s="330">
        <f>IF('Inndata Bygg'!AD67="Ja", -1*'Resultater detaljert Bygg'!$F64, 0)</f>
        <v>0</v>
      </c>
      <c r="J64" s="330">
        <f>'Inndata Bygg'!O67*'Inndata Bygg'!P67</f>
        <v>0</v>
      </c>
      <c r="K64" s="330">
        <f>MAX(-0.75*(SUM('Resultater detaljert Bygg'!F64:J64)),-'Inndata Bygg'!O67*'Inndata Bygg'!Q67)</f>
        <v>0</v>
      </c>
      <c r="L64" s="330">
        <f>'Inndata Bygg'!S67*'Inndata Bygg'!T67</f>
        <v>0</v>
      </c>
      <c r="M64" s="330">
        <f>MAX(-0.75*(SUM('Resultater detaljert Bygg'!F64:I64,L64)),-'Inndata Bygg'!S67*'Inndata Bygg'!U67)</f>
        <v>0</v>
      </c>
      <c r="N64" s="331">
        <f>'Inndata Bygg'!F67</f>
        <v>0</v>
      </c>
      <c r="O64" s="330">
        <f>'Inndata Bygg'!O67*'Inndata Bygg'!R67</f>
        <v>0</v>
      </c>
      <c r="P64" s="332">
        <f>'Inndata Bygg'!S67*'Inndata Bygg'!V67</f>
        <v>0</v>
      </c>
      <c r="Q64" s="493">
        <f>SUM(F64:J64,L64)*'Inndata Bygg'!K67</f>
        <v>0</v>
      </c>
      <c r="R64" s="333">
        <f>(K64+M64)*'Inndata Bygg'!K67</f>
        <v>0</v>
      </c>
      <c r="S64" s="493">
        <f>N64*'Inndata Bygg'!K67</f>
        <v>0</v>
      </c>
      <c r="T64" s="494">
        <f>'Inndata Bygg'!G67*'Inndata Bygg'!K67*Transport_utslipp_til_avfallshånderting_per_kg</f>
        <v>0</v>
      </c>
      <c r="U64" s="330">
        <f>IF('Inndata Bygg'!E67 = 0, 0, 1.833*'Inndata Bygg'!X67*'Inndata Bygg'!K67*('Inndata Bygg'!G67*('Inndata Bygg'!L67*0.5+'Inndata Bygg'!M67*0.8) + (12/44)*('Inndata Bygg'!O67*'Inndata Bygg'!Q67+'Inndata Bygg'!S67*'Inndata Bygg'!U67)))</f>
        <v>0</v>
      </c>
      <c r="V64" s="335" cm="1">
        <f t="array" ref="V64">CalculateBiogenicCarbonUptake('ZERO-B Beregning'!$D$17,'Inndata Bygg'!H67,'Inndata Bygg'!G67,'Inndata Bygg'!L67,F64,AB64,AC64,AD64)</f>
        <v>0</v>
      </c>
      <c r="W64" s="576" cm="1">
        <f t="array" ref="W64">CalculateCementCarbonUptake('ZERO-B Beregning'!$D$17,'Inndata Bygg'!H67,'Inndata Bygg'!G67,'Inndata Bygg'!N67)</f>
        <v>0</v>
      </c>
      <c r="X64" s="331" cm="1">
        <f t="array" ref="X64">IF(SUM(F64:J64,L64)=0, 0, SUM(F64:J64,L64)*(1+'Inndata Bygg'!K67)*IF('Inndata Bygg'!H67&gt;50, 0, _xlfn.XLOOKUP('Inndata Bygg'!H67, År_etter_ferdigstillelse, IF(VALUE(LEFT('Inndata Bygg'!B67, 2))= 49, f_tid_x_f_tek_d_0_037_kumulativ, f_tid_x_f_tek_d_0_01_kumulativ))))</f>
        <v>0</v>
      </c>
      <c r="Y64" s="330">
        <f>IF(X64=0, 0, SUM(K64,M64)*(1+'Inndata Bygg'!K67)*IF('Inndata Bygg'!H67&gt;50, 0, _xlfn.XLOOKUP('Inndata Bygg'!H67, År_etter_ferdigstillelse, f_tid_x_f_tek_d_0_01_kumulativ)))</f>
        <v>0</v>
      </c>
      <c r="Z64" s="336">
        <f>IF(X64=0, 0, SUM(N64:P64)*(1+'Inndata Bygg'!K67)*IF('Inndata Bygg'!H67&gt;50, 0, _xlfn.XLOOKUP('Inndata Bygg'!H67, År_etter_ferdigstillelse, f_tid_x_f_tek_d_0_01_kumulativ)))</f>
        <v>0</v>
      </c>
      <c r="AA64" s="336">
        <f>IF(X64=0, 0, ('Inndata Bygg'!G67+'Inndata Bygg'!O67+'Inndata Bygg'!S67)*(1+'Inndata Bygg'!K67)*Transport_utslipp_til_avfallshånderting_per_kg*IF('Inndata Bygg'!H67&gt;50, 0, _xlfn.XLOOKUP('Inndata Bygg'!H67, År_etter_ferdigstillelse, f_tid_x_f_tek_d_0_01_kumulativ)))</f>
        <v>0</v>
      </c>
      <c r="AB64" s="580" cm="1">
        <f t="array" ref="AB64">CalculateEmissionsFromIncinerationOfWaste('ZERO-B Beregning'!$D$17,'Inndata Bygg'!H67,'Inndata Bygg'!G67,'Inndata Bygg'!X67,'Inndata Bygg'!L67,'Inndata Bygg'!M67,'Inndata Bygg'!B67)</f>
        <v>0</v>
      </c>
      <c r="AC64" s="335">
        <f>IF(('Inndata Bygg'!G67+'Inndata Bygg'!O67+'Inndata Bygg'!S67) = 0, 0,('Inndata Bygg'!G67+'Inndata Bygg'!O67+'Inndata Bygg'!S67)*(('Inndata Bygg'!X67+'Inndata Bygg'!Y67+'Inndata Bygg'!AA67)*Transport_utslipp_til_avfallshånderting_per_kg+('Inndata Bygg'!Z67*'ZERO-B Beregning'!D166/1000)*IF('ZERO-B Beregning'!F167=0,'ZERO-B Beregning'!D167,'ZERO-B Beregning'!F167))*_xlfn.XLOOKUP(51, År_etter_ferdigstillelse, f_tid_x_f_tek_d_0_01))</f>
        <v>0</v>
      </c>
      <c r="AD64" s="577">
        <f>IF(('Inndata Bygg'!G67+'Inndata Bygg'!O67+'Inndata Bygg'!S67) = 0, 0,1.833*('Inndata Bygg'!G67*('Inndata Bygg'!L67*0.5+'Inndata Bygg'!M67*0.8)+'Inndata Bygg'!O67*'Inndata Bygg'!Q67+'Inndata Bygg'!S67*'Inndata Bygg'!U67)*AG64*_xlfn.XLOOKUP(51, År_etter_ferdigstillelse,  f_tid_x_f_tek_d_0_01))</f>
        <v>0</v>
      </c>
      <c r="AE64" s="575" cm="1">
        <f t="array" ref="AE64">CalculateEmissionsReductionFromReuse('ZERO-B Beregning'!$D$17,'Inndata Bygg'!H67,'Inndata Bygg'!G67,'Inndata Bygg'!Z67,'Inndata Bygg'!X67,'Inndata Bygg'!Y67,F64,'Inndata Bygg'!B67)</f>
        <v>0</v>
      </c>
      <c r="AF64" s="333" cm="1">
        <f t="array" ref="AF64">CalculateEmissionReductionFromRecycling('ZERO-B Beregning'!$D$17,'Inndata Bygg'!H67,'Inndata Bygg'!G67,'Inndata Bygg'!AA67,'Inndata Bygg'!X67,'Inndata Bygg'!Y67,F64,'Inndata Bygg'!B67)</f>
        <v>0</v>
      </c>
      <c r="AG64" s="572">
        <f>IF(('Inndata Bygg'!G67+'Inndata Bygg'!O67+'Inndata Bygg'!S67) = 0, 0,'Inndata Bygg'!X67*Faktorer!$Z$58)</f>
        <v>0</v>
      </c>
      <c r="AH64" s="573">
        <f>IF(('Inndata Bygg'!G67+'Inndata Bygg'!O67+'Inndata Bygg'!S67) = 0, 0,'Inndata Bygg'!Z67+('Inndata Bygg'!X67+'Inndata Bygg'!Y67)*(1-Faktorer!$Z$58)*0.5)</f>
        <v>0</v>
      </c>
      <c r="AI64" s="574">
        <f>IF(('Inndata Bygg'!G67+'Inndata Bygg'!O67+'Inndata Bygg'!S67) = 0, 0,'Inndata Bygg'!AA67+('Inndata Bygg'!X67+'Inndata Bygg'!Y67)*(1-Faktorer!$Z$58)*0.5)</f>
        <v>0</v>
      </c>
      <c r="AJ64" s="634"/>
      <c r="AK64" s="90">
        <f t="shared" si="2"/>
        <v>0</v>
      </c>
      <c r="AL64" s="91">
        <f>'Resultater detaljert Bygg'!N64</f>
        <v>0</v>
      </c>
      <c r="AM64" s="91" t="str">
        <f>IF(F64=0,"",('Inndata Bygg'!E67+'Inndata Bygg'!F67)*ROUNDDOWN('Inndata Bygg'!I67,0)*(1+'Inndata Bygg'!K67))</f>
        <v/>
      </c>
    </row>
    <row r="65" spans="2:39">
      <c r="B65" s="339">
        <f>'Inndata Bygg'!B68</f>
        <v>0</v>
      </c>
      <c r="C65" s="340">
        <f>'Inndata Bygg'!C68</f>
        <v>0</v>
      </c>
      <c r="D65" s="341">
        <f>'Inndata Bygg'!D68</f>
        <v>0</v>
      </c>
      <c r="E65" s="421" cm="1">
        <f t="array" ref="E65">SUM(IFERROR(F65:AD65,0))</f>
        <v>0</v>
      </c>
      <c r="F65" s="330">
        <f>'Inndata Bygg'!E68</f>
        <v>0</v>
      </c>
      <c r="G65" s="330">
        <f>IF('Inndata Bygg'!AB68="Ja", -0.8*'Resultater detaljert Bygg'!F65, 0)</f>
        <v>0</v>
      </c>
      <c r="H65" s="330">
        <f>IF('Inndata Bygg'!AC68="Ja", -0.4*'Resultater detaljert Bygg'!$F65, 0)</f>
        <v>0</v>
      </c>
      <c r="I65" s="330">
        <f>IF('Inndata Bygg'!AD68="Ja", -1*'Resultater detaljert Bygg'!$F65, 0)</f>
        <v>0</v>
      </c>
      <c r="J65" s="330">
        <f>'Inndata Bygg'!O68*'Inndata Bygg'!P68</f>
        <v>0</v>
      </c>
      <c r="K65" s="330">
        <f>MAX(-0.75*(SUM('Resultater detaljert Bygg'!F65:J65)),-'Inndata Bygg'!O68*'Inndata Bygg'!Q68)</f>
        <v>0</v>
      </c>
      <c r="L65" s="330">
        <f>'Inndata Bygg'!S68*'Inndata Bygg'!T68</f>
        <v>0</v>
      </c>
      <c r="M65" s="330">
        <f>MAX(-0.75*(SUM('Resultater detaljert Bygg'!F65:I65,L65)),-'Inndata Bygg'!S68*'Inndata Bygg'!U68)</f>
        <v>0</v>
      </c>
      <c r="N65" s="331">
        <f>'Inndata Bygg'!F68</f>
        <v>0</v>
      </c>
      <c r="O65" s="330">
        <f>'Inndata Bygg'!O68*'Inndata Bygg'!R68</f>
        <v>0</v>
      </c>
      <c r="P65" s="332">
        <f>'Inndata Bygg'!S68*'Inndata Bygg'!V68</f>
        <v>0</v>
      </c>
      <c r="Q65" s="493">
        <f>SUM(F65:J65,L65)*'Inndata Bygg'!K68</f>
        <v>0</v>
      </c>
      <c r="R65" s="333">
        <f>(K65+M65)*'Inndata Bygg'!K68</f>
        <v>0</v>
      </c>
      <c r="S65" s="493">
        <f>N65*'Inndata Bygg'!K68</f>
        <v>0</v>
      </c>
      <c r="T65" s="494">
        <f>'Inndata Bygg'!G68*'Inndata Bygg'!K68*Transport_utslipp_til_avfallshånderting_per_kg</f>
        <v>0</v>
      </c>
      <c r="U65" s="330">
        <f>IF('Inndata Bygg'!E68 = 0, 0, 1.833*'Inndata Bygg'!X68*'Inndata Bygg'!K68*('Inndata Bygg'!G68*('Inndata Bygg'!L68*0.5+'Inndata Bygg'!M68*0.8) + (12/44)*('Inndata Bygg'!O68*'Inndata Bygg'!Q68+'Inndata Bygg'!S68*'Inndata Bygg'!U68)))</f>
        <v>0</v>
      </c>
      <c r="V65" s="335" cm="1">
        <f t="array" ref="V65">CalculateBiogenicCarbonUptake('ZERO-B Beregning'!$D$17,'Inndata Bygg'!H68,'Inndata Bygg'!G68,'Inndata Bygg'!L68,F65,AB65,AC65,AD65)</f>
        <v>0</v>
      </c>
      <c r="W65" s="576" cm="1">
        <f t="array" ref="W65">CalculateCementCarbonUptake('ZERO-B Beregning'!$D$17,'Inndata Bygg'!H68,'Inndata Bygg'!G68,'Inndata Bygg'!N68)</f>
        <v>0</v>
      </c>
      <c r="X65" s="331" cm="1">
        <f t="array" ref="X65">IF(SUM(F65:J65,L65)=0, 0, SUM(F65:J65,L65)*(1+'Inndata Bygg'!K68)*IF('Inndata Bygg'!H68&gt;50, 0, _xlfn.XLOOKUP('Inndata Bygg'!H68, År_etter_ferdigstillelse, IF(VALUE(LEFT('Inndata Bygg'!B68, 2))= 49, f_tid_x_f_tek_d_0_037_kumulativ, f_tid_x_f_tek_d_0_01_kumulativ))))</f>
        <v>0</v>
      </c>
      <c r="Y65" s="330">
        <f>IF(X65=0, 0, SUM(K65,M65)*(1+'Inndata Bygg'!K68)*IF('Inndata Bygg'!H68&gt;50, 0, _xlfn.XLOOKUP('Inndata Bygg'!H68, År_etter_ferdigstillelse, f_tid_x_f_tek_d_0_01_kumulativ)))</f>
        <v>0</v>
      </c>
      <c r="Z65" s="336">
        <f>IF(X65=0, 0, SUM(N65:P65)*(1+'Inndata Bygg'!K68)*IF('Inndata Bygg'!H68&gt;50, 0, _xlfn.XLOOKUP('Inndata Bygg'!H68, År_etter_ferdigstillelse, f_tid_x_f_tek_d_0_01_kumulativ)))</f>
        <v>0</v>
      </c>
      <c r="AA65" s="336">
        <f>IF(X65=0, 0, ('Inndata Bygg'!G68+'Inndata Bygg'!O68+'Inndata Bygg'!S68)*(1+'Inndata Bygg'!K68)*Transport_utslipp_til_avfallshånderting_per_kg*IF('Inndata Bygg'!H68&gt;50, 0, _xlfn.XLOOKUP('Inndata Bygg'!H68, År_etter_ferdigstillelse, f_tid_x_f_tek_d_0_01_kumulativ)))</f>
        <v>0</v>
      </c>
      <c r="AB65" s="580" cm="1">
        <f t="array" ref="AB65">CalculateEmissionsFromIncinerationOfWaste('ZERO-B Beregning'!$D$17,'Inndata Bygg'!H68,'Inndata Bygg'!G68,'Inndata Bygg'!X68,'Inndata Bygg'!L68,'Inndata Bygg'!M68,'Inndata Bygg'!B68)</f>
        <v>0</v>
      </c>
      <c r="AC65" s="335">
        <f>IF(('Inndata Bygg'!G68+'Inndata Bygg'!O68+'Inndata Bygg'!S68) = 0, 0,('Inndata Bygg'!G68+'Inndata Bygg'!O68+'Inndata Bygg'!S68)*(('Inndata Bygg'!X68+'Inndata Bygg'!Y68+'Inndata Bygg'!AA68)*Transport_utslipp_til_avfallshånderting_per_kg+('Inndata Bygg'!Z68*'ZERO-B Beregning'!D167/1000)*IF('ZERO-B Beregning'!F168=0,'ZERO-B Beregning'!D168,'ZERO-B Beregning'!F168))*_xlfn.XLOOKUP(51, År_etter_ferdigstillelse, f_tid_x_f_tek_d_0_01))</f>
        <v>0</v>
      </c>
      <c r="AD65" s="577">
        <f>IF(('Inndata Bygg'!G68+'Inndata Bygg'!O68+'Inndata Bygg'!S68) = 0, 0,1.833*('Inndata Bygg'!G68*('Inndata Bygg'!L68*0.5+'Inndata Bygg'!M68*0.8)+'Inndata Bygg'!O68*'Inndata Bygg'!Q68+'Inndata Bygg'!S68*'Inndata Bygg'!U68)*AG65*_xlfn.XLOOKUP(51, År_etter_ferdigstillelse,  f_tid_x_f_tek_d_0_01))</f>
        <v>0</v>
      </c>
      <c r="AE65" s="575" cm="1">
        <f t="array" ref="AE65">CalculateEmissionsReductionFromReuse('ZERO-B Beregning'!$D$17,'Inndata Bygg'!H68,'Inndata Bygg'!G68,'Inndata Bygg'!Z68,'Inndata Bygg'!X68,'Inndata Bygg'!Y68,F65,'Inndata Bygg'!B68)</f>
        <v>0</v>
      </c>
      <c r="AF65" s="333" cm="1">
        <f t="array" ref="AF65">CalculateEmissionReductionFromRecycling('ZERO-B Beregning'!$D$17,'Inndata Bygg'!H68,'Inndata Bygg'!G68,'Inndata Bygg'!AA68,'Inndata Bygg'!X68,'Inndata Bygg'!Y68,F65,'Inndata Bygg'!B68)</f>
        <v>0</v>
      </c>
      <c r="AG65" s="572">
        <f>IF(('Inndata Bygg'!G68+'Inndata Bygg'!O68+'Inndata Bygg'!S68) = 0, 0,'Inndata Bygg'!X68*Faktorer!$Z$58)</f>
        <v>0</v>
      </c>
      <c r="AH65" s="573">
        <f>IF(('Inndata Bygg'!G68+'Inndata Bygg'!O68+'Inndata Bygg'!S68) = 0, 0,'Inndata Bygg'!Z68+('Inndata Bygg'!X68+'Inndata Bygg'!Y68)*(1-Faktorer!$Z$58)*0.5)</f>
        <v>0</v>
      </c>
      <c r="AI65" s="574">
        <f>IF(('Inndata Bygg'!G68+'Inndata Bygg'!O68+'Inndata Bygg'!S68) = 0, 0,'Inndata Bygg'!AA68+('Inndata Bygg'!X68+'Inndata Bygg'!Y68)*(1-Faktorer!$Z$58)*0.5)</f>
        <v>0</v>
      </c>
      <c r="AJ65" s="634"/>
      <c r="AK65" s="90">
        <f t="shared" si="2"/>
        <v>0</v>
      </c>
      <c r="AL65" s="91">
        <f>'Resultater detaljert Bygg'!N65</f>
        <v>0</v>
      </c>
      <c r="AM65" s="91" t="str">
        <f>IF(F65=0,"",('Inndata Bygg'!E68+'Inndata Bygg'!F68)*ROUNDDOWN('Inndata Bygg'!I68,0)*(1+'Inndata Bygg'!K68))</f>
        <v/>
      </c>
    </row>
    <row r="66" spans="2:39">
      <c r="B66" s="339">
        <f>'Inndata Bygg'!B69</f>
        <v>0</v>
      </c>
      <c r="C66" s="340">
        <f>'Inndata Bygg'!C69</f>
        <v>0</v>
      </c>
      <c r="D66" s="341">
        <f>'Inndata Bygg'!D69</f>
        <v>0</v>
      </c>
      <c r="E66" s="421" cm="1">
        <f t="array" ref="E66">SUM(IFERROR(F66:AD66,0))</f>
        <v>0</v>
      </c>
      <c r="F66" s="330">
        <f>'Inndata Bygg'!E69</f>
        <v>0</v>
      </c>
      <c r="G66" s="330">
        <f>IF('Inndata Bygg'!AB69="Ja", -0.8*'Resultater detaljert Bygg'!F66, 0)</f>
        <v>0</v>
      </c>
      <c r="H66" s="330">
        <f>IF('Inndata Bygg'!AC69="Ja", -0.4*'Resultater detaljert Bygg'!$F66, 0)</f>
        <v>0</v>
      </c>
      <c r="I66" s="330">
        <f>IF('Inndata Bygg'!AD69="Ja", -1*'Resultater detaljert Bygg'!$F66, 0)</f>
        <v>0</v>
      </c>
      <c r="J66" s="330">
        <f>'Inndata Bygg'!O69*'Inndata Bygg'!P69</f>
        <v>0</v>
      </c>
      <c r="K66" s="330">
        <f>MAX(-0.75*(SUM('Resultater detaljert Bygg'!F66:J66)),-'Inndata Bygg'!O69*'Inndata Bygg'!Q69)</f>
        <v>0</v>
      </c>
      <c r="L66" s="330">
        <f>'Inndata Bygg'!S69*'Inndata Bygg'!T69</f>
        <v>0</v>
      </c>
      <c r="M66" s="330">
        <f>MAX(-0.75*(SUM('Resultater detaljert Bygg'!F66:I66,L66)),-'Inndata Bygg'!S69*'Inndata Bygg'!U69)</f>
        <v>0</v>
      </c>
      <c r="N66" s="331">
        <f>'Inndata Bygg'!F69</f>
        <v>0</v>
      </c>
      <c r="O66" s="330">
        <f>'Inndata Bygg'!O69*'Inndata Bygg'!R69</f>
        <v>0</v>
      </c>
      <c r="P66" s="332">
        <f>'Inndata Bygg'!S69*'Inndata Bygg'!V69</f>
        <v>0</v>
      </c>
      <c r="Q66" s="493">
        <f>SUM(F66:J66,L66)*'Inndata Bygg'!K69</f>
        <v>0</v>
      </c>
      <c r="R66" s="333">
        <f>(K66+M66)*'Inndata Bygg'!K69</f>
        <v>0</v>
      </c>
      <c r="S66" s="493">
        <f>N66*'Inndata Bygg'!K69</f>
        <v>0</v>
      </c>
      <c r="T66" s="494">
        <f>'Inndata Bygg'!G69*'Inndata Bygg'!K69*Transport_utslipp_til_avfallshånderting_per_kg</f>
        <v>0</v>
      </c>
      <c r="U66" s="330">
        <f>IF('Inndata Bygg'!E69 = 0, 0, 1.833*'Inndata Bygg'!X69*'Inndata Bygg'!K69*('Inndata Bygg'!G69*('Inndata Bygg'!L69*0.5+'Inndata Bygg'!M69*0.8) + (12/44)*('Inndata Bygg'!O69*'Inndata Bygg'!Q69+'Inndata Bygg'!S69*'Inndata Bygg'!U69)))</f>
        <v>0</v>
      </c>
      <c r="V66" s="335" cm="1">
        <f t="array" ref="V66">CalculateBiogenicCarbonUptake('ZERO-B Beregning'!$D$17,'Inndata Bygg'!H69,'Inndata Bygg'!G69,'Inndata Bygg'!L69,F66,AB66,AC66,AD66)</f>
        <v>0</v>
      </c>
      <c r="W66" s="576" cm="1">
        <f t="array" ref="W66">CalculateCementCarbonUptake('ZERO-B Beregning'!$D$17,'Inndata Bygg'!H69,'Inndata Bygg'!G69,'Inndata Bygg'!N69)</f>
        <v>0</v>
      </c>
      <c r="X66" s="331" cm="1">
        <f t="array" ref="X66">IF(SUM(F66:J66,L66)=0, 0, SUM(F66:J66,L66)*(1+'Inndata Bygg'!K69)*IF('Inndata Bygg'!H69&gt;50, 0, _xlfn.XLOOKUP('Inndata Bygg'!H69, År_etter_ferdigstillelse, IF(VALUE(LEFT('Inndata Bygg'!B69, 2))= 49, f_tid_x_f_tek_d_0_037_kumulativ, f_tid_x_f_tek_d_0_01_kumulativ))))</f>
        <v>0</v>
      </c>
      <c r="Y66" s="330">
        <f>IF(X66=0, 0, SUM(K66,M66)*(1+'Inndata Bygg'!K69)*IF('Inndata Bygg'!H69&gt;50, 0, _xlfn.XLOOKUP('Inndata Bygg'!H69, År_etter_ferdigstillelse, f_tid_x_f_tek_d_0_01_kumulativ)))</f>
        <v>0</v>
      </c>
      <c r="Z66" s="336">
        <f>IF(X66=0, 0, SUM(N66:P66)*(1+'Inndata Bygg'!K69)*IF('Inndata Bygg'!H69&gt;50, 0, _xlfn.XLOOKUP('Inndata Bygg'!H69, År_etter_ferdigstillelse, f_tid_x_f_tek_d_0_01_kumulativ)))</f>
        <v>0</v>
      </c>
      <c r="AA66" s="336">
        <f>IF(X66=0, 0, ('Inndata Bygg'!G69+'Inndata Bygg'!O69+'Inndata Bygg'!S69)*(1+'Inndata Bygg'!K69)*Transport_utslipp_til_avfallshånderting_per_kg*IF('Inndata Bygg'!H69&gt;50, 0, _xlfn.XLOOKUP('Inndata Bygg'!H69, År_etter_ferdigstillelse, f_tid_x_f_tek_d_0_01_kumulativ)))</f>
        <v>0</v>
      </c>
      <c r="AB66" s="580" cm="1">
        <f t="array" ref="AB66">CalculateEmissionsFromIncinerationOfWaste('ZERO-B Beregning'!$D$17,'Inndata Bygg'!H69,'Inndata Bygg'!G69,'Inndata Bygg'!X69,'Inndata Bygg'!L69,'Inndata Bygg'!M69,'Inndata Bygg'!B69)</f>
        <v>0</v>
      </c>
      <c r="AC66" s="335">
        <f>IF(('Inndata Bygg'!G69+'Inndata Bygg'!O69+'Inndata Bygg'!S69) = 0, 0,('Inndata Bygg'!G69+'Inndata Bygg'!O69+'Inndata Bygg'!S69)*(('Inndata Bygg'!X69+'Inndata Bygg'!Y69+'Inndata Bygg'!AA69)*Transport_utslipp_til_avfallshånderting_per_kg+('Inndata Bygg'!Z69*'ZERO-B Beregning'!D168/1000)*IF('ZERO-B Beregning'!F169=0,'ZERO-B Beregning'!D169,'ZERO-B Beregning'!F169))*_xlfn.XLOOKUP(51, År_etter_ferdigstillelse, f_tid_x_f_tek_d_0_01))</f>
        <v>0</v>
      </c>
      <c r="AD66" s="577">
        <f>IF(('Inndata Bygg'!G69+'Inndata Bygg'!O69+'Inndata Bygg'!S69) = 0, 0,1.833*('Inndata Bygg'!G69*('Inndata Bygg'!L69*0.5+'Inndata Bygg'!M69*0.8)+'Inndata Bygg'!O69*'Inndata Bygg'!Q69+'Inndata Bygg'!S69*'Inndata Bygg'!U69)*AG66*_xlfn.XLOOKUP(51, År_etter_ferdigstillelse,  f_tid_x_f_tek_d_0_01))</f>
        <v>0</v>
      </c>
      <c r="AE66" s="575" cm="1">
        <f t="array" ref="AE66">CalculateEmissionsReductionFromReuse('ZERO-B Beregning'!$D$17,'Inndata Bygg'!H69,'Inndata Bygg'!G69,'Inndata Bygg'!Z69,'Inndata Bygg'!X69,'Inndata Bygg'!Y69,F66,'Inndata Bygg'!B69)</f>
        <v>0</v>
      </c>
      <c r="AF66" s="333" cm="1">
        <f t="array" ref="AF66">CalculateEmissionReductionFromRecycling('ZERO-B Beregning'!$D$17,'Inndata Bygg'!H69,'Inndata Bygg'!G69,'Inndata Bygg'!AA69,'Inndata Bygg'!X69,'Inndata Bygg'!Y69,F66,'Inndata Bygg'!B69)</f>
        <v>0</v>
      </c>
      <c r="AG66" s="572">
        <f>IF(('Inndata Bygg'!G69+'Inndata Bygg'!O69+'Inndata Bygg'!S69) = 0, 0,'Inndata Bygg'!X69*Faktorer!$Z$58)</f>
        <v>0</v>
      </c>
      <c r="AH66" s="573">
        <f>IF(('Inndata Bygg'!G69+'Inndata Bygg'!O69+'Inndata Bygg'!S69) = 0, 0,'Inndata Bygg'!Z69+('Inndata Bygg'!X69+'Inndata Bygg'!Y69)*(1-Faktorer!$Z$58)*0.5)</f>
        <v>0</v>
      </c>
      <c r="AI66" s="574">
        <f>IF(('Inndata Bygg'!G69+'Inndata Bygg'!O69+'Inndata Bygg'!S69) = 0, 0,'Inndata Bygg'!AA69+('Inndata Bygg'!X69+'Inndata Bygg'!Y69)*(1-Faktorer!$Z$58)*0.5)</f>
        <v>0</v>
      </c>
      <c r="AJ66" s="634"/>
      <c r="AK66" s="90">
        <f t="shared" si="2"/>
        <v>0</v>
      </c>
      <c r="AL66" s="91">
        <f>'Resultater detaljert Bygg'!N66</f>
        <v>0</v>
      </c>
      <c r="AM66" s="91" t="str">
        <f>IF(F66=0,"",('Inndata Bygg'!E69+'Inndata Bygg'!F69)*ROUNDDOWN('Inndata Bygg'!I69,0)*(1+'Inndata Bygg'!K69))</f>
        <v/>
      </c>
    </row>
    <row r="67" spans="2:39">
      <c r="B67" s="339">
        <f>'Inndata Bygg'!B70</f>
        <v>0</v>
      </c>
      <c r="C67" s="340">
        <f>'Inndata Bygg'!C70</f>
        <v>0</v>
      </c>
      <c r="D67" s="341">
        <f>'Inndata Bygg'!D70</f>
        <v>0</v>
      </c>
      <c r="E67" s="421" cm="1">
        <f t="array" ref="E67">SUM(IFERROR(F67:AD67,0))</f>
        <v>0</v>
      </c>
      <c r="F67" s="330">
        <f>'Inndata Bygg'!E70</f>
        <v>0</v>
      </c>
      <c r="G67" s="330">
        <f>IF('Inndata Bygg'!AB70="Ja", -0.8*'Resultater detaljert Bygg'!F67, 0)</f>
        <v>0</v>
      </c>
      <c r="H67" s="330">
        <f>IF('Inndata Bygg'!AC70="Ja", -0.4*'Resultater detaljert Bygg'!$F67, 0)</f>
        <v>0</v>
      </c>
      <c r="I67" s="330">
        <f>IF('Inndata Bygg'!AD70="Ja", -1*'Resultater detaljert Bygg'!$F67, 0)</f>
        <v>0</v>
      </c>
      <c r="J67" s="330">
        <f>'Inndata Bygg'!O70*'Inndata Bygg'!P70</f>
        <v>0</v>
      </c>
      <c r="K67" s="330">
        <f>MAX(-0.75*(SUM('Resultater detaljert Bygg'!F67:J67)),-'Inndata Bygg'!O70*'Inndata Bygg'!Q70)</f>
        <v>0</v>
      </c>
      <c r="L67" s="330">
        <f>'Inndata Bygg'!S70*'Inndata Bygg'!T70</f>
        <v>0</v>
      </c>
      <c r="M67" s="330">
        <f>MAX(-0.75*(SUM('Resultater detaljert Bygg'!F67:I67,L67)),-'Inndata Bygg'!S70*'Inndata Bygg'!U70)</f>
        <v>0</v>
      </c>
      <c r="N67" s="331">
        <f>'Inndata Bygg'!F70</f>
        <v>0</v>
      </c>
      <c r="O67" s="330">
        <f>'Inndata Bygg'!O70*'Inndata Bygg'!R70</f>
        <v>0</v>
      </c>
      <c r="P67" s="332">
        <f>'Inndata Bygg'!S70*'Inndata Bygg'!V70</f>
        <v>0</v>
      </c>
      <c r="Q67" s="493">
        <f>SUM(F67:J67,L67)*'Inndata Bygg'!K70</f>
        <v>0</v>
      </c>
      <c r="R67" s="333">
        <f>(K67+M67)*'Inndata Bygg'!K70</f>
        <v>0</v>
      </c>
      <c r="S67" s="493">
        <f>N67*'Inndata Bygg'!K70</f>
        <v>0</v>
      </c>
      <c r="T67" s="494">
        <f>'Inndata Bygg'!G70*'Inndata Bygg'!K70*Transport_utslipp_til_avfallshånderting_per_kg</f>
        <v>0</v>
      </c>
      <c r="U67" s="330">
        <f>IF('Inndata Bygg'!E70 = 0, 0, 1.833*'Inndata Bygg'!X70*'Inndata Bygg'!K70*('Inndata Bygg'!G70*('Inndata Bygg'!L70*0.5+'Inndata Bygg'!M70*0.8) + (12/44)*('Inndata Bygg'!O70*'Inndata Bygg'!Q70+'Inndata Bygg'!S70*'Inndata Bygg'!U70)))</f>
        <v>0</v>
      </c>
      <c r="V67" s="335" cm="1">
        <f t="array" ref="V67">CalculateBiogenicCarbonUptake('ZERO-B Beregning'!$D$17,'Inndata Bygg'!H70,'Inndata Bygg'!G70,'Inndata Bygg'!L70,F67,AB67,AC67,AD67)</f>
        <v>0</v>
      </c>
      <c r="W67" s="576" cm="1">
        <f t="array" ref="W67">CalculateCementCarbonUptake('ZERO-B Beregning'!$D$17,'Inndata Bygg'!H70,'Inndata Bygg'!G70,'Inndata Bygg'!N70)</f>
        <v>0</v>
      </c>
      <c r="X67" s="331" cm="1">
        <f t="array" ref="X67">IF(SUM(F67:J67,L67)=0, 0, SUM(F67:J67,L67)*(1+'Inndata Bygg'!K70)*IF('Inndata Bygg'!H70&gt;50, 0, _xlfn.XLOOKUP('Inndata Bygg'!H70, År_etter_ferdigstillelse, IF(VALUE(LEFT('Inndata Bygg'!B70, 2))= 49, f_tid_x_f_tek_d_0_037_kumulativ, f_tid_x_f_tek_d_0_01_kumulativ))))</f>
        <v>0</v>
      </c>
      <c r="Y67" s="330">
        <f>IF(X67=0, 0, SUM(K67,M67)*(1+'Inndata Bygg'!K70)*IF('Inndata Bygg'!H70&gt;50, 0, _xlfn.XLOOKUP('Inndata Bygg'!H70, År_etter_ferdigstillelse, f_tid_x_f_tek_d_0_01_kumulativ)))</f>
        <v>0</v>
      </c>
      <c r="Z67" s="336">
        <f>IF(X67=0, 0, SUM(N67:P67)*(1+'Inndata Bygg'!K70)*IF('Inndata Bygg'!H70&gt;50, 0, _xlfn.XLOOKUP('Inndata Bygg'!H70, År_etter_ferdigstillelse, f_tid_x_f_tek_d_0_01_kumulativ)))</f>
        <v>0</v>
      </c>
      <c r="AA67" s="336">
        <f>IF(X67=0, 0, ('Inndata Bygg'!G70+'Inndata Bygg'!O70+'Inndata Bygg'!S70)*(1+'Inndata Bygg'!K70)*Transport_utslipp_til_avfallshånderting_per_kg*IF('Inndata Bygg'!H70&gt;50, 0, _xlfn.XLOOKUP('Inndata Bygg'!H70, År_etter_ferdigstillelse, f_tid_x_f_tek_d_0_01_kumulativ)))</f>
        <v>0</v>
      </c>
      <c r="AB67" s="580" cm="1">
        <f t="array" ref="AB67">CalculateEmissionsFromIncinerationOfWaste('ZERO-B Beregning'!$D$17,'Inndata Bygg'!H70,'Inndata Bygg'!G70,'Inndata Bygg'!X70,'Inndata Bygg'!L70,'Inndata Bygg'!M70,'Inndata Bygg'!B70)</f>
        <v>0</v>
      </c>
      <c r="AC67" s="335">
        <f>IF(('Inndata Bygg'!G70+'Inndata Bygg'!O70+'Inndata Bygg'!S70) = 0, 0,('Inndata Bygg'!G70+'Inndata Bygg'!O70+'Inndata Bygg'!S70)*(('Inndata Bygg'!X70+'Inndata Bygg'!Y70+'Inndata Bygg'!AA70)*Transport_utslipp_til_avfallshånderting_per_kg+('Inndata Bygg'!Z70*'ZERO-B Beregning'!D169/1000)*IF('ZERO-B Beregning'!F170=0,'ZERO-B Beregning'!D170,'ZERO-B Beregning'!F170))*_xlfn.XLOOKUP(51, År_etter_ferdigstillelse, f_tid_x_f_tek_d_0_01))</f>
        <v>0</v>
      </c>
      <c r="AD67" s="577">
        <f>IF(('Inndata Bygg'!G70+'Inndata Bygg'!O70+'Inndata Bygg'!S70) = 0, 0,1.833*('Inndata Bygg'!G70*('Inndata Bygg'!L70*0.5+'Inndata Bygg'!M70*0.8)+'Inndata Bygg'!O70*'Inndata Bygg'!Q70+'Inndata Bygg'!S70*'Inndata Bygg'!U70)*AG67*_xlfn.XLOOKUP(51, År_etter_ferdigstillelse,  f_tid_x_f_tek_d_0_01))</f>
        <v>0</v>
      </c>
      <c r="AE67" s="575" cm="1">
        <f t="array" ref="AE67">CalculateEmissionsReductionFromReuse('ZERO-B Beregning'!$D$17,'Inndata Bygg'!H70,'Inndata Bygg'!G70,'Inndata Bygg'!Z70,'Inndata Bygg'!X70,'Inndata Bygg'!Y70,F67,'Inndata Bygg'!B70)</f>
        <v>0</v>
      </c>
      <c r="AF67" s="333" cm="1">
        <f t="array" ref="AF67">CalculateEmissionReductionFromRecycling('ZERO-B Beregning'!$D$17,'Inndata Bygg'!H70,'Inndata Bygg'!G70,'Inndata Bygg'!AA70,'Inndata Bygg'!X70,'Inndata Bygg'!Y70,F67,'Inndata Bygg'!B70)</f>
        <v>0</v>
      </c>
      <c r="AG67" s="572">
        <f>IF(('Inndata Bygg'!G70+'Inndata Bygg'!O70+'Inndata Bygg'!S70) = 0, 0,'Inndata Bygg'!X70*Faktorer!$Z$58)</f>
        <v>0</v>
      </c>
      <c r="AH67" s="573">
        <f>IF(('Inndata Bygg'!G70+'Inndata Bygg'!O70+'Inndata Bygg'!S70) = 0, 0,'Inndata Bygg'!Z70+('Inndata Bygg'!X70+'Inndata Bygg'!Y70)*(1-Faktorer!$Z$58)*0.5)</f>
        <v>0</v>
      </c>
      <c r="AI67" s="574">
        <f>IF(('Inndata Bygg'!G70+'Inndata Bygg'!O70+'Inndata Bygg'!S70) = 0, 0,'Inndata Bygg'!AA70+('Inndata Bygg'!X70+'Inndata Bygg'!Y70)*(1-Faktorer!$Z$58)*0.5)</f>
        <v>0</v>
      </c>
      <c r="AJ67" s="634"/>
      <c r="AK67" s="90">
        <f t="shared" si="2"/>
        <v>0</v>
      </c>
      <c r="AL67" s="91">
        <f>'Resultater detaljert Bygg'!N67</f>
        <v>0</v>
      </c>
      <c r="AM67" s="91" t="str">
        <f>IF(F67=0,"",('Inndata Bygg'!E70+'Inndata Bygg'!F70)*ROUNDDOWN('Inndata Bygg'!I70,0)*(1+'Inndata Bygg'!K70))</f>
        <v/>
      </c>
    </row>
    <row r="68" spans="2:39">
      <c r="B68" s="339">
        <f>'Inndata Bygg'!B71</f>
        <v>0</v>
      </c>
      <c r="C68" s="340">
        <f>'Inndata Bygg'!C71</f>
        <v>0</v>
      </c>
      <c r="D68" s="341">
        <f>'Inndata Bygg'!D71</f>
        <v>0</v>
      </c>
      <c r="E68" s="421" cm="1">
        <f t="array" ref="E68">SUM(IFERROR(F68:AD68,0))</f>
        <v>0</v>
      </c>
      <c r="F68" s="330">
        <f>'Inndata Bygg'!E71</f>
        <v>0</v>
      </c>
      <c r="G68" s="330">
        <f>IF('Inndata Bygg'!AB71="Ja", -0.8*'Resultater detaljert Bygg'!F68, 0)</f>
        <v>0</v>
      </c>
      <c r="H68" s="330">
        <f>IF('Inndata Bygg'!AC71="Ja", -0.4*'Resultater detaljert Bygg'!$F68, 0)</f>
        <v>0</v>
      </c>
      <c r="I68" s="330">
        <f>IF('Inndata Bygg'!AD71="Ja", -1*'Resultater detaljert Bygg'!$F68, 0)</f>
        <v>0</v>
      </c>
      <c r="J68" s="330">
        <f>'Inndata Bygg'!O71*'Inndata Bygg'!P71</f>
        <v>0</v>
      </c>
      <c r="K68" s="330">
        <f>MAX(-0.75*(SUM('Resultater detaljert Bygg'!F68:J68)),-'Inndata Bygg'!O71*'Inndata Bygg'!Q71)</f>
        <v>0</v>
      </c>
      <c r="L68" s="330">
        <f>'Inndata Bygg'!S71*'Inndata Bygg'!T71</f>
        <v>0</v>
      </c>
      <c r="M68" s="330">
        <f>MAX(-0.75*(SUM('Resultater detaljert Bygg'!F68:I68,L68)),-'Inndata Bygg'!S71*'Inndata Bygg'!U71)</f>
        <v>0</v>
      </c>
      <c r="N68" s="331">
        <f>'Inndata Bygg'!F71</f>
        <v>0</v>
      </c>
      <c r="O68" s="330">
        <f>'Inndata Bygg'!O71*'Inndata Bygg'!R71</f>
        <v>0</v>
      </c>
      <c r="P68" s="332">
        <f>'Inndata Bygg'!S71*'Inndata Bygg'!V71</f>
        <v>0</v>
      </c>
      <c r="Q68" s="493">
        <f>SUM(F68:J68,L68)*'Inndata Bygg'!K71</f>
        <v>0</v>
      </c>
      <c r="R68" s="333">
        <f>(K68+M68)*'Inndata Bygg'!K71</f>
        <v>0</v>
      </c>
      <c r="S68" s="493">
        <f>N68*'Inndata Bygg'!K71</f>
        <v>0</v>
      </c>
      <c r="T68" s="494">
        <f>'Inndata Bygg'!G71*'Inndata Bygg'!K71*Transport_utslipp_til_avfallshånderting_per_kg</f>
        <v>0</v>
      </c>
      <c r="U68" s="330">
        <f>IF('Inndata Bygg'!E71 = 0, 0, 1.833*'Inndata Bygg'!X71*'Inndata Bygg'!K71*('Inndata Bygg'!G71*('Inndata Bygg'!L71*0.5+'Inndata Bygg'!M71*0.8) + (12/44)*('Inndata Bygg'!O71*'Inndata Bygg'!Q71+'Inndata Bygg'!S71*'Inndata Bygg'!U71)))</f>
        <v>0</v>
      </c>
      <c r="V68" s="335" cm="1">
        <f t="array" ref="V68">CalculateBiogenicCarbonUptake('ZERO-B Beregning'!$D$17,'Inndata Bygg'!H71,'Inndata Bygg'!G71,'Inndata Bygg'!L71,F68,AB68,AC68,AD68)</f>
        <v>0</v>
      </c>
      <c r="W68" s="576" cm="1">
        <f t="array" ref="W68">CalculateCementCarbonUptake('ZERO-B Beregning'!$D$17,'Inndata Bygg'!H71,'Inndata Bygg'!G71,'Inndata Bygg'!N71)</f>
        <v>0</v>
      </c>
      <c r="X68" s="331" cm="1">
        <f t="array" ref="X68">IF(SUM(F68:J68,L68)=0, 0, SUM(F68:J68,L68)*(1+'Inndata Bygg'!K71)*IF('Inndata Bygg'!H71&gt;50, 0, _xlfn.XLOOKUP('Inndata Bygg'!H71, År_etter_ferdigstillelse, IF(VALUE(LEFT('Inndata Bygg'!B71, 2))= 49, f_tid_x_f_tek_d_0_037_kumulativ, f_tid_x_f_tek_d_0_01_kumulativ))))</f>
        <v>0</v>
      </c>
      <c r="Y68" s="330">
        <f>IF(X68=0, 0, SUM(K68,M68)*(1+'Inndata Bygg'!K71)*IF('Inndata Bygg'!H71&gt;50, 0, _xlfn.XLOOKUP('Inndata Bygg'!H71, År_etter_ferdigstillelse, f_tid_x_f_tek_d_0_01_kumulativ)))</f>
        <v>0</v>
      </c>
      <c r="Z68" s="336">
        <f>IF(X68=0, 0, SUM(N68:P68)*(1+'Inndata Bygg'!K71)*IF('Inndata Bygg'!H71&gt;50, 0, _xlfn.XLOOKUP('Inndata Bygg'!H71, År_etter_ferdigstillelse, f_tid_x_f_tek_d_0_01_kumulativ)))</f>
        <v>0</v>
      </c>
      <c r="AA68" s="336">
        <f>IF(X68=0, 0, ('Inndata Bygg'!G71+'Inndata Bygg'!O71+'Inndata Bygg'!S71)*(1+'Inndata Bygg'!K71)*Transport_utslipp_til_avfallshånderting_per_kg*IF('Inndata Bygg'!H71&gt;50, 0, _xlfn.XLOOKUP('Inndata Bygg'!H71, År_etter_ferdigstillelse, f_tid_x_f_tek_d_0_01_kumulativ)))</f>
        <v>0</v>
      </c>
      <c r="AB68" s="580" cm="1">
        <f t="array" ref="AB68">CalculateEmissionsFromIncinerationOfWaste('ZERO-B Beregning'!$D$17,'Inndata Bygg'!H71,'Inndata Bygg'!G71,'Inndata Bygg'!X71,'Inndata Bygg'!L71,'Inndata Bygg'!M71,'Inndata Bygg'!B71)</f>
        <v>0</v>
      </c>
      <c r="AC68" s="335">
        <f>IF(('Inndata Bygg'!G71+'Inndata Bygg'!O71+'Inndata Bygg'!S71) = 0, 0,('Inndata Bygg'!G71+'Inndata Bygg'!O71+'Inndata Bygg'!S71)*(('Inndata Bygg'!X71+'Inndata Bygg'!Y71+'Inndata Bygg'!AA71)*Transport_utslipp_til_avfallshånderting_per_kg+('Inndata Bygg'!Z71*'ZERO-B Beregning'!D170/1000)*IF('ZERO-B Beregning'!F171=0,'ZERO-B Beregning'!D171,'ZERO-B Beregning'!F171))*_xlfn.XLOOKUP(51, År_etter_ferdigstillelse, f_tid_x_f_tek_d_0_01))</f>
        <v>0</v>
      </c>
      <c r="AD68" s="577">
        <f>IF(('Inndata Bygg'!G71+'Inndata Bygg'!O71+'Inndata Bygg'!S71) = 0, 0,1.833*('Inndata Bygg'!G71*('Inndata Bygg'!L71*0.5+'Inndata Bygg'!M71*0.8)+'Inndata Bygg'!O71*'Inndata Bygg'!Q71+'Inndata Bygg'!S71*'Inndata Bygg'!U71)*AG68*_xlfn.XLOOKUP(51, År_etter_ferdigstillelse,  f_tid_x_f_tek_d_0_01))</f>
        <v>0</v>
      </c>
      <c r="AE68" s="575" cm="1">
        <f t="array" ref="AE68">CalculateEmissionsReductionFromReuse('ZERO-B Beregning'!$D$17,'Inndata Bygg'!H71,'Inndata Bygg'!G71,'Inndata Bygg'!Z71,'Inndata Bygg'!X71,'Inndata Bygg'!Y71,F68,'Inndata Bygg'!B71)</f>
        <v>0</v>
      </c>
      <c r="AF68" s="333" cm="1">
        <f t="array" ref="AF68">CalculateEmissionReductionFromRecycling('ZERO-B Beregning'!$D$17,'Inndata Bygg'!H71,'Inndata Bygg'!G71,'Inndata Bygg'!AA71,'Inndata Bygg'!X71,'Inndata Bygg'!Y71,F68,'Inndata Bygg'!B71)</f>
        <v>0</v>
      </c>
      <c r="AG68" s="572">
        <f>IF(('Inndata Bygg'!G71+'Inndata Bygg'!O71+'Inndata Bygg'!S71) = 0, 0,'Inndata Bygg'!X71*Faktorer!$Z$58)</f>
        <v>0</v>
      </c>
      <c r="AH68" s="573">
        <f>IF(('Inndata Bygg'!G71+'Inndata Bygg'!O71+'Inndata Bygg'!S71) = 0, 0,'Inndata Bygg'!Z71+('Inndata Bygg'!X71+'Inndata Bygg'!Y71)*(1-Faktorer!$Z$58)*0.5)</f>
        <v>0</v>
      </c>
      <c r="AI68" s="574">
        <f>IF(('Inndata Bygg'!G71+'Inndata Bygg'!O71+'Inndata Bygg'!S71) = 0, 0,'Inndata Bygg'!AA71+('Inndata Bygg'!X71+'Inndata Bygg'!Y71)*(1-Faktorer!$Z$58)*0.5)</f>
        <v>0</v>
      </c>
      <c r="AJ68" s="634"/>
      <c r="AK68" s="90">
        <f t="shared" si="2"/>
        <v>0</v>
      </c>
      <c r="AL68" s="91">
        <f>'Resultater detaljert Bygg'!N68</f>
        <v>0</v>
      </c>
      <c r="AM68" s="91" t="str">
        <f>IF(F68=0,"",('Inndata Bygg'!E71+'Inndata Bygg'!F71)*ROUNDDOWN('Inndata Bygg'!I71,0)*(1+'Inndata Bygg'!K71))</f>
        <v/>
      </c>
    </row>
    <row r="69" spans="2:39">
      <c r="B69" s="339">
        <f>'Inndata Bygg'!B72</f>
        <v>0</v>
      </c>
      <c r="C69" s="340">
        <f>'Inndata Bygg'!C72</f>
        <v>0</v>
      </c>
      <c r="D69" s="341">
        <f>'Inndata Bygg'!D72</f>
        <v>0</v>
      </c>
      <c r="E69" s="421" cm="1">
        <f t="array" ref="E69">SUM(IFERROR(F69:AD69,0))</f>
        <v>0</v>
      </c>
      <c r="F69" s="330">
        <f>'Inndata Bygg'!E72</f>
        <v>0</v>
      </c>
      <c r="G69" s="330">
        <f>IF('Inndata Bygg'!AB72="Ja", -0.8*'Resultater detaljert Bygg'!F69, 0)</f>
        <v>0</v>
      </c>
      <c r="H69" s="330">
        <f>IF('Inndata Bygg'!AC72="Ja", -0.4*'Resultater detaljert Bygg'!$F69, 0)</f>
        <v>0</v>
      </c>
      <c r="I69" s="330">
        <f>IF('Inndata Bygg'!AD72="Ja", -1*'Resultater detaljert Bygg'!$F69, 0)</f>
        <v>0</v>
      </c>
      <c r="J69" s="330">
        <f>'Inndata Bygg'!O72*'Inndata Bygg'!P72</f>
        <v>0</v>
      </c>
      <c r="K69" s="330">
        <f>MAX(-0.75*(SUM('Resultater detaljert Bygg'!F69:J69)),-'Inndata Bygg'!O72*'Inndata Bygg'!Q72)</f>
        <v>0</v>
      </c>
      <c r="L69" s="330">
        <f>'Inndata Bygg'!S72*'Inndata Bygg'!T72</f>
        <v>0</v>
      </c>
      <c r="M69" s="330">
        <f>MAX(-0.75*(SUM('Resultater detaljert Bygg'!F69:I69,L69)),-'Inndata Bygg'!S72*'Inndata Bygg'!U72)</f>
        <v>0</v>
      </c>
      <c r="N69" s="331">
        <f>'Inndata Bygg'!F72</f>
        <v>0</v>
      </c>
      <c r="O69" s="330">
        <f>'Inndata Bygg'!O72*'Inndata Bygg'!R72</f>
        <v>0</v>
      </c>
      <c r="P69" s="332">
        <f>'Inndata Bygg'!S72*'Inndata Bygg'!V72</f>
        <v>0</v>
      </c>
      <c r="Q69" s="493">
        <f>SUM(F69:J69,L69)*'Inndata Bygg'!K72</f>
        <v>0</v>
      </c>
      <c r="R69" s="333">
        <f>(K69+M69)*'Inndata Bygg'!K72</f>
        <v>0</v>
      </c>
      <c r="S69" s="493">
        <f>N69*'Inndata Bygg'!K72</f>
        <v>0</v>
      </c>
      <c r="T69" s="494">
        <f>'Inndata Bygg'!G72*'Inndata Bygg'!K72*Transport_utslipp_til_avfallshånderting_per_kg</f>
        <v>0</v>
      </c>
      <c r="U69" s="330">
        <f>IF('Inndata Bygg'!E72 = 0, 0, 1.833*'Inndata Bygg'!X72*'Inndata Bygg'!K72*('Inndata Bygg'!G72*('Inndata Bygg'!L72*0.5+'Inndata Bygg'!M72*0.8) + (12/44)*('Inndata Bygg'!O72*'Inndata Bygg'!Q72+'Inndata Bygg'!S72*'Inndata Bygg'!U72)))</f>
        <v>0</v>
      </c>
      <c r="V69" s="335" cm="1">
        <f t="array" ref="V69">CalculateBiogenicCarbonUptake('ZERO-B Beregning'!$D$17,'Inndata Bygg'!H72,'Inndata Bygg'!G72,'Inndata Bygg'!L72,F69,AB69,AC69,AD69)</f>
        <v>0</v>
      </c>
      <c r="W69" s="576" cm="1">
        <f t="array" ref="W69">CalculateCementCarbonUptake('ZERO-B Beregning'!$D$17,'Inndata Bygg'!H72,'Inndata Bygg'!G72,'Inndata Bygg'!N72)</f>
        <v>0</v>
      </c>
      <c r="X69" s="331" cm="1">
        <f t="array" ref="X69">IF(SUM(F69:J69,L69)=0, 0, SUM(F69:J69,L69)*(1+'Inndata Bygg'!K72)*IF('Inndata Bygg'!H72&gt;50, 0, _xlfn.XLOOKUP('Inndata Bygg'!H72, År_etter_ferdigstillelse, IF(VALUE(LEFT('Inndata Bygg'!B72, 2))= 49, f_tid_x_f_tek_d_0_037_kumulativ, f_tid_x_f_tek_d_0_01_kumulativ))))</f>
        <v>0</v>
      </c>
      <c r="Y69" s="330">
        <f>IF(X69=0, 0, SUM(K69,M69)*(1+'Inndata Bygg'!K72)*IF('Inndata Bygg'!H72&gt;50, 0, _xlfn.XLOOKUP('Inndata Bygg'!H72, År_etter_ferdigstillelse, f_tid_x_f_tek_d_0_01_kumulativ)))</f>
        <v>0</v>
      </c>
      <c r="Z69" s="336">
        <f>IF(X69=0, 0, SUM(N69:P69)*(1+'Inndata Bygg'!K72)*IF('Inndata Bygg'!H72&gt;50, 0, _xlfn.XLOOKUP('Inndata Bygg'!H72, År_etter_ferdigstillelse, f_tid_x_f_tek_d_0_01_kumulativ)))</f>
        <v>0</v>
      </c>
      <c r="AA69" s="336">
        <f>IF(X69=0, 0, ('Inndata Bygg'!G72+'Inndata Bygg'!O72+'Inndata Bygg'!S72)*(1+'Inndata Bygg'!K72)*Transport_utslipp_til_avfallshånderting_per_kg*IF('Inndata Bygg'!H72&gt;50, 0, _xlfn.XLOOKUP('Inndata Bygg'!H72, År_etter_ferdigstillelse, f_tid_x_f_tek_d_0_01_kumulativ)))</f>
        <v>0</v>
      </c>
      <c r="AB69" s="580" cm="1">
        <f t="array" ref="AB69">CalculateEmissionsFromIncinerationOfWaste('ZERO-B Beregning'!$D$17,'Inndata Bygg'!H72,'Inndata Bygg'!G72,'Inndata Bygg'!X72,'Inndata Bygg'!L72,'Inndata Bygg'!M72,'Inndata Bygg'!B72)</f>
        <v>0</v>
      </c>
      <c r="AC69" s="335">
        <f>IF(('Inndata Bygg'!G72+'Inndata Bygg'!O72+'Inndata Bygg'!S72) = 0, 0,('Inndata Bygg'!G72+'Inndata Bygg'!O72+'Inndata Bygg'!S72)*(('Inndata Bygg'!X72+'Inndata Bygg'!Y72+'Inndata Bygg'!AA72)*Transport_utslipp_til_avfallshånderting_per_kg+('Inndata Bygg'!Z72*'ZERO-B Beregning'!D171/1000)*IF('ZERO-B Beregning'!F172=0,'ZERO-B Beregning'!D172,'ZERO-B Beregning'!F172))*_xlfn.XLOOKUP(51, År_etter_ferdigstillelse, f_tid_x_f_tek_d_0_01))</f>
        <v>0</v>
      </c>
      <c r="AD69" s="577">
        <f>IF(('Inndata Bygg'!G72+'Inndata Bygg'!O72+'Inndata Bygg'!S72) = 0, 0,1.833*('Inndata Bygg'!G72*('Inndata Bygg'!L72*0.5+'Inndata Bygg'!M72*0.8)+'Inndata Bygg'!O72*'Inndata Bygg'!Q72+'Inndata Bygg'!S72*'Inndata Bygg'!U72)*AG69*_xlfn.XLOOKUP(51, År_etter_ferdigstillelse,  f_tid_x_f_tek_d_0_01))</f>
        <v>0</v>
      </c>
      <c r="AE69" s="575" cm="1">
        <f t="array" ref="AE69">CalculateEmissionsReductionFromReuse('ZERO-B Beregning'!$D$17,'Inndata Bygg'!H72,'Inndata Bygg'!G72,'Inndata Bygg'!Z72,'Inndata Bygg'!X72,'Inndata Bygg'!Y72,F69,'Inndata Bygg'!B72)</f>
        <v>0</v>
      </c>
      <c r="AF69" s="333" cm="1">
        <f t="array" ref="AF69">CalculateEmissionReductionFromRecycling('ZERO-B Beregning'!$D$17,'Inndata Bygg'!H72,'Inndata Bygg'!G72,'Inndata Bygg'!AA72,'Inndata Bygg'!X72,'Inndata Bygg'!Y72,F69,'Inndata Bygg'!B72)</f>
        <v>0</v>
      </c>
      <c r="AG69" s="572">
        <f>IF(('Inndata Bygg'!G72+'Inndata Bygg'!O72+'Inndata Bygg'!S72) = 0, 0,'Inndata Bygg'!X72*Faktorer!$Z$58)</f>
        <v>0</v>
      </c>
      <c r="AH69" s="573">
        <f>IF(('Inndata Bygg'!G72+'Inndata Bygg'!O72+'Inndata Bygg'!S72) = 0, 0,'Inndata Bygg'!Z72+('Inndata Bygg'!X72+'Inndata Bygg'!Y72)*(1-Faktorer!$Z$58)*0.5)</f>
        <v>0</v>
      </c>
      <c r="AI69" s="574">
        <f>IF(('Inndata Bygg'!G72+'Inndata Bygg'!O72+'Inndata Bygg'!S72) = 0, 0,'Inndata Bygg'!AA72+('Inndata Bygg'!X72+'Inndata Bygg'!Y72)*(1-Faktorer!$Z$58)*0.5)</f>
        <v>0</v>
      </c>
      <c r="AJ69" s="634"/>
      <c r="AK69" s="90">
        <f t="shared" si="2"/>
        <v>0</v>
      </c>
      <c r="AL69" s="91">
        <f>'Resultater detaljert Bygg'!N69</f>
        <v>0</v>
      </c>
      <c r="AM69" s="91" t="str">
        <f>IF(F69=0,"",('Inndata Bygg'!E72+'Inndata Bygg'!F72)*ROUNDDOWN('Inndata Bygg'!I72,0)*(1+'Inndata Bygg'!K72))</f>
        <v/>
      </c>
    </row>
    <row r="70" spans="2:39">
      <c r="B70" s="339">
        <f>'Inndata Bygg'!B73</f>
        <v>0</v>
      </c>
      <c r="C70" s="340">
        <f>'Inndata Bygg'!C73</f>
        <v>0</v>
      </c>
      <c r="D70" s="341">
        <f>'Inndata Bygg'!D73</f>
        <v>0</v>
      </c>
      <c r="E70" s="421" cm="1">
        <f t="array" ref="E70">SUM(IFERROR(F70:AD70,0))</f>
        <v>0</v>
      </c>
      <c r="F70" s="330">
        <f>'Inndata Bygg'!E73</f>
        <v>0</v>
      </c>
      <c r="G70" s="330">
        <f>IF('Inndata Bygg'!AB73="Ja", -0.8*'Resultater detaljert Bygg'!F70, 0)</f>
        <v>0</v>
      </c>
      <c r="H70" s="330">
        <f>IF('Inndata Bygg'!AC73="Ja", -0.4*'Resultater detaljert Bygg'!$F70, 0)</f>
        <v>0</v>
      </c>
      <c r="I70" s="330">
        <f>IF('Inndata Bygg'!AD73="Ja", -1*'Resultater detaljert Bygg'!$F70, 0)</f>
        <v>0</v>
      </c>
      <c r="J70" s="330">
        <f>'Inndata Bygg'!O73*'Inndata Bygg'!P73</f>
        <v>0</v>
      </c>
      <c r="K70" s="330">
        <f>MAX(-0.75*(SUM('Resultater detaljert Bygg'!F70:J70)),-'Inndata Bygg'!O73*'Inndata Bygg'!Q73)</f>
        <v>0</v>
      </c>
      <c r="L70" s="330">
        <f>'Inndata Bygg'!S73*'Inndata Bygg'!T73</f>
        <v>0</v>
      </c>
      <c r="M70" s="330">
        <f>MAX(-0.75*(SUM('Resultater detaljert Bygg'!F70:I70,L70)),-'Inndata Bygg'!S73*'Inndata Bygg'!U73)</f>
        <v>0</v>
      </c>
      <c r="N70" s="331">
        <f>'Inndata Bygg'!F73</f>
        <v>0</v>
      </c>
      <c r="O70" s="330">
        <f>'Inndata Bygg'!O73*'Inndata Bygg'!R73</f>
        <v>0</v>
      </c>
      <c r="P70" s="332">
        <f>'Inndata Bygg'!S73*'Inndata Bygg'!V73</f>
        <v>0</v>
      </c>
      <c r="Q70" s="493">
        <f>SUM(F70:J70,L70)*'Inndata Bygg'!K73</f>
        <v>0</v>
      </c>
      <c r="R70" s="333">
        <f>(K70+M70)*'Inndata Bygg'!K73</f>
        <v>0</v>
      </c>
      <c r="S70" s="493">
        <f>N70*'Inndata Bygg'!K73</f>
        <v>0</v>
      </c>
      <c r="T70" s="494">
        <f>'Inndata Bygg'!G73*'Inndata Bygg'!K73*Transport_utslipp_til_avfallshånderting_per_kg</f>
        <v>0</v>
      </c>
      <c r="U70" s="330">
        <f>IF('Inndata Bygg'!E73 = 0, 0, 1.833*'Inndata Bygg'!X73*'Inndata Bygg'!K73*('Inndata Bygg'!G73*('Inndata Bygg'!L73*0.5+'Inndata Bygg'!M73*0.8) + (12/44)*('Inndata Bygg'!O73*'Inndata Bygg'!Q73+'Inndata Bygg'!S73*'Inndata Bygg'!U73)))</f>
        <v>0</v>
      </c>
      <c r="V70" s="335" cm="1">
        <f t="array" ref="V70">CalculateBiogenicCarbonUptake('ZERO-B Beregning'!$D$17,'Inndata Bygg'!H73,'Inndata Bygg'!G73,'Inndata Bygg'!L73,F70,AB70,AC70,AD70)</f>
        <v>0</v>
      </c>
      <c r="W70" s="576" cm="1">
        <f t="array" ref="W70">CalculateCementCarbonUptake('ZERO-B Beregning'!$D$17,'Inndata Bygg'!H73,'Inndata Bygg'!G73,'Inndata Bygg'!N73)</f>
        <v>0</v>
      </c>
      <c r="X70" s="331" cm="1">
        <f t="array" ref="X70">IF(SUM(F70:J70,L70)=0, 0, SUM(F70:J70,L70)*(1+'Inndata Bygg'!K73)*IF('Inndata Bygg'!H73&gt;50, 0, _xlfn.XLOOKUP('Inndata Bygg'!H73, År_etter_ferdigstillelse, IF(VALUE(LEFT('Inndata Bygg'!B73, 2))= 49, f_tid_x_f_tek_d_0_037_kumulativ, f_tid_x_f_tek_d_0_01_kumulativ))))</f>
        <v>0</v>
      </c>
      <c r="Y70" s="330">
        <f>IF(X70=0, 0, SUM(K70,M70)*(1+'Inndata Bygg'!K73)*IF('Inndata Bygg'!H73&gt;50, 0, _xlfn.XLOOKUP('Inndata Bygg'!H73, År_etter_ferdigstillelse, f_tid_x_f_tek_d_0_01_kumulativ)))</f>
        <v>0</v>
      </c>
      <c r="Z70" s="336">
        <f>IF(X70=0, 0, SUM(N70:P70)*(1+'Inndata Bygg'!K73)*IF('Inndata Bygg'!H73&gt;50, 0, _xlfn.XLOOKUP('Inndata Bygg'!H73, År_etter_ferdigstillelse, f_tid_x_f_tek_d_0_01_kumulativ)))</f>
        <v>0</v>
      </c>
      <c r="AA70" s="336">
        <f>IF(X70=0, 0, ('Inndata Bygg'!G73+'Inndata Bygg'!O73+'Inndata Bygg'!S73)*(1+'Inndata Bygg'!K73)*Transport_utslipp_til_avfallshånderting_per_kg*IF('Inndata Bygg'!H73&gt;50, 0, _xlfn.XLOOKUP('Inndata Bygg'!H73, År_etter_ferdigstillelse, f_tid_x_f_tek_d_0_01_kumulativ)))</f>
        <v>0</v>
      </c>
      <c r="AB70" s="580" cm="1">
        <f t="array" ref="AB70">CalculateEmissionsFromIncinerationOfWaste('ZERO-B Beregning'!$D$17,'Inndata Bygg'!H73,'Inndata Bygg'!G73,'Inndata Bygg'!X73,'Inndata Bygg'!L73,'Inndata Bygg'!M73,'Inndata Bygg'!B73)</f>
        <v>0</v>
      </c>
      <c r="AC70" s="335">
        <f>IF(('Inndata Bygg'!G73+'Inndata Bygg'!O73+'Inndata Bygg'!S73) = 0, 0,('Inndata Bygg'!G73+'Inndata Bygg'!O73+'Inndata Bygg'!S73)*(('Inndata Bygg'!X73+'Inndata Bygg'!Y73+'Inndata Bygg'!AA73)*Transport_utslipp_til_avfallshånderting_per_kg+('Inndata Bygg'!Z73*'ZERO-B Beregning'!D172/1000)*IF('ZERO-B Beregning'!F173=0,'ZERO-B Beregning'!D173,'ZERO-B Beregning'!F173))*_xlfn.XLOOKUP(51, År_etter_ferdigstillelse, f_tid_x_f_tek_d_0_01))</f>
        <v>0</v>
      </c>
      <c r="AD70" s="577">
        <f>IF(('Inndata Bygg'!G73+'Inndata Bygg'!O73+'Inndata Bygg'!S73) = 0, 0,1.833*('Inndata Bygg'!G73*('Inndata Bygg'!L73*0.5+'Inndata Bygg'!M73*0.8)+'Inndata Bygg'!O73*'Inndata Bygg'!Q73+'Inndata Bygg'!S73*'Inndata Bygg'!U73)*AG70*_xlfn.XLOOKUP(51, År_etter_ferdigstillelse,  f_tid_x_f_tek_d_0_01))</f>
        <v>0</v>
      </c>
      <c r="AE70" s="575" cm="1">
        <f t="array" ref="AE70">CalculateEmissionsReductionFromReuse('ZERO-B Beregning'!$D$17,'Inndata Bygg'!H73,'Inndata Bygg'!G73,'Inndata Bygg'!Z73,'Inndata Bygg'!X73,'Inndata Bygg'!Y73,F70,'Inndata Bygg'!B73)</f>
        <v>0</v>
      </c>
      <c r="AF70" s="333" cm="1">
        <f t="array" ref="AF70">CalculateEmissionReductionFromRecycling('ZERO-B Beregning'!$D$17,'Inndata Bygg'!H73,'Inndata Bygg'!G73,'Inndata Bygg'!AA73,'Inndata Bygg'!X73,'Inndata Bygg'!Y73,F70,'Inndata Bygg'!B73)</f>
        <v>0</v>
      </c>
      <c r="AG70" s="572">
        <f>IF(('Inndata Bygg'!G73+'Inndata Bygg'!O73+'Inndata Bygg'!S73) = 0, 0,'Inndata Bygg'!X73*Faktorer!$Z$58)</f>
        <v>0</v>
      </c>
      <c r="AH70" s="573">
        <f>IF(('Inndata Bygg'!G73+'Inndata Bygg'!O73+'Inndata Bygg'!S73) = 0, 0,'Inndata Bygg'!Z73+('Inndata Bygg'!X73+'Inndata Bygg'!Y73)*(1-Faktorer!$Z$58)*0.5)</f>
        <v>0</v>
      </c>
      <c r="AI70" s="574">
        <f>IF(('Inndata Bygg'!G73+'Inndata Bygg'!O73+'Inndata Bygg'!S73) = 0, 0,'Inndata Bygg'!AA73+('Inndata Bygg'!X73+'Inndata Bygg'!Y73)*(1-Faktorer!$Z$58)*0.5)</f>
        <v>0</v>
      </c>
      <c r="AJ70" s="634"/>
      <c r="AK70" s="90">
        <f t="shared" si="2"/>
        <v>0</v>
      </c>
      <c r="AL70" s="91">
        <f>'Resultater detaljert Bygg'!N70</f>
        <v>0</v>
      </c>
      <c r="AM70" s="91" t="str">
        <f>IF(F70=0,"",('Inndata Bygg'!E73+'Inndata Bygg'!F73)*ROUNDDOWN('Inndata Bygg'!I73,0)*(1+'Inndata Bygg'!K73))</f>
        <v/>
      </c>
    </row>
    <row r="71" spans="2:39">
      <c r="B71" s="339">
        <f>'Inndata Bygg'!B74</f>
        <v>0</v>
      </c>
      <c r="C71" s="340">
        <f>'Inndata Bygg'!C74</f>
        <v>0</v>
      </c>
      <c r="D71" s="341">
        <f>'Inndata Bygg'!D74</f>
        <v>0</v>
      </c>
      <c r="E71" s="421" cm="1">
        <f t="array" ref="E71">SUM(IFERROR(F71:AD71,0))</f>
        <v>0</v>
      </c>
      <c r="F71" s="330">
        <f>'Inndata Bygg'!E74</f>
        <v>0</v>
      </c>
      <c r="G71" s="330">
        <f>IF('Inndata Bygg'!AB74="Ja", -0.8*'Resultater detaljert Bygg'!F71, 0)</f>
        <v>0</v>
      </c>
      <c r="H71" s="330">
        <f>IF('Inndata Bygg'!AC74="Ja", -0.4*'Resultater detaljert Bygg'!$F71, 0)</f>
        <v>0</v>
      </c>
      <c r="I71" s="330">
        <f>IF('Inndata Bygg'!AD74="Ja", -1*'Resultater detaljert Bygg'!$F71, 0)</f>
        <v>0</v>
      </c>
      <c r="J71" s="330">
        <f>'Inndata Bygg'!O74*'Inndata Bygg'!P74</f>
        <v>0</v>
      </c>
      <c r="K71" s="330">
        <f>MAX(-0.75*(SUM('Resultater detaljert Bygg'!F71:J71)),-'Inndata Bygg'!O74*'Inndata Bygg'!Q74)</f>
        <v>0</v>
      </c>
      <c r="L71" s="330">
        <f>'Inndata Bygg'!S74*'Inndata Bygg'!T74</f>
        <v>0</v>
      </c>
      <c r="M71" s="330">
        <f>MAX(-0.75*(SUM('Resultater detaljert Bygg'!F71:I71,L71)),-'Inndata Bygg'!S74*'Inndata Bygg'!U74)</f>
        <v>0</v>
      </c>
      <c r="N71" s="331">
        <f>'Inndata Bygg'!F74</f>
        <v>0</v>
      </c>
      <c r="O71" s="330">
        <f>'Inndata Bygg'!O74*'Inndata Bygg'!R74</f>
        <v>0</v>
      </c>
      <c r="P71" s="332">
        <f>'Inndata Bygg'!S74*'Inndata Bygg'!V74</f>
        <v>0</v>
      </c>
      <c r="Q71" s="493">
        <f>SUM(F71:J71,L71)*'Inndata Bygg'!K74</f>
        <v>0</v>
      </c>
      <c r="R71" s="333">
        <f>(K71+M71)*'Inndata Bygg'!K74</f>
        <v>0</v>
      </c>
      <c r="S71" s="493">
        <f>N71*'Inndata Bygg'!K74</f>
        <v>0</v>
      </c>
      <c r="T71" s="494">
        <f>'Inndata Bygg'!G74*'Inndata Bygg'!K74*Transport_utslipp_til_avfallshånderting_per_kg</f>
        <v>0</v>
      </c>
      <c r="U71" s="330">
        <f>IF('Inndata Bygg'!E74 = 0, 0, 1.833*'Inndata Bygg'!X74*'Inndata Bygg'!K74*('Inndata Bygg'!G74*('Inndata Bygg'!L74*0.5+'Inndata Bygg'!M74*0.8) + (12/44)*('Inndata Bygg'!O74*'Inndata Bygg'!Q74+'Inndata Bygg'!S74*'Inndata Bygg'!U74)))</f>
        <v>0</v>
      </c>
      <c r="V71" s="335" cm="1">
        <f t="array" ref="V71">CalculateBiogenicCarbonUptake('ZERO-B Beregning'!$D$17,'Inndata Bygg'!H74,'Inndata Bygg'!G74,'Inndata Bygg'!L74,F71,AB71,AC71,AD71)</f>
        <v>0</v>
      </c>
      <c r="W71" s="576" cm="1">
        <f t="array" ref="W71">CalculateCementCarbonUptake('ZERO-B Beregning'!$D$17,'Inndata Bygg'!H74,'Inndata Bygg'!G74,'Inndata Bygg'!N74)</f>
        <v>0</v>
      </c>
      <c r="X71" s="331" cm="1">
        <f t="array" ref="X71">IF(SUM(F71:J71,L71)=0, 0, SUM(F71:J71,L71)*(1+'Inndata Bygg'!K74)*IF('Inndata Bygg'!H74&gt;50, 0, _xlfn.XLOOKUP('Inndata Bygg'!H74, År_etter_ferdigstillelse, IF(VALUE(LEFT('Inndata Bygg'!B74, 2))= 49, f_tid_x_f_tek_d_0_037_kumulativ, f_tid_x_f_tek_d_0_01_kumulativ))))</f>
        <v>0</v>
      </c>
      <c r="Y71" s="330">
        <f>IF(X71=0, 0, SUM(K71,M71)*(1+'Inndata Bygg'!K74)*IF('Inndata Bygg'!H74&gt;50, 0, _xlfn.XLOOKUP('Inndata Bygg'!H74, År_etter_ferdigstillelse, f_tid_x_f_tek_d_0_01_kumulativ)))</f>
        <v>0</v>
      </c>
      <c r="Z71" s="336">
        <f>IF(X71=0, 0, SUM(N71:P71)*(1+'Inndata Bygg'!K74)*IF('Inndata Bygg'!H74&gt;50, 0, _xlfn.XLOOKUP('Inndata Bygg'!H74, År_etter_ferdigstillelse, f_tid_x_f_tek_d_0_01_kumulativ)))</f>
        <v>0</v>
      </c>
      <c r="AA71" s="336">
        <f>IF(X71=0, 0, ('Inndata Bygg'!G74+'Inndata Bygg'!O74+'Inndata Bygg'!S74)*(1+'Inndata Bygg'!K74)*Transport_utslipp_til_avfallshånderting_per_kg*IF('Inndata Bygg'!H74&gt;50, 0, _xlfn.XLOOKUP('Inndata Bygg'!H74, År_etter_ferdigstillelse, f_tid_x_f_tek_d_0_01_kumulativ)))</f>
        <v>0</v>
      </c>
      <c r="AB71" s="580" cm="1">
        <f t="array" ref="AB71">CalculateEmissionsFromIncinerationOfWaste('ZERO-B Beregning'!$D$17,'Inndata Bygg'!H74,'Inndata Bygg'!G74,'Inndata Bygg'!X74,'Inndata Bygg'!L74,'Inndata Bygg'!M74,'Inndata Bygg'!B74)</f>
        <v>0</v>
      </c>
      <c r="AC71" s="335">
        <f>IF(('Inndata Bygg'!G74+'Inndata Bygg'!O74+'Inndata Bygg'!S74) = 0, 0,('Inndata Bygg'!G74+'Inndata Bygg'!O74+'Inndata Bygg'!S74)*(('Inndata Bygg'!X74+'Inndata Bygg'!Y74+'Inndata Bygg'!AA74)*Transport_utslipp_til_avfallshånderting_per_kg+('Inndata Bygg'!Z74*'ZERO-B Beregning'!D173/1000)*IF('ZERO-B Beregning'!F174=0,'ZERO-B Beregning'!D174,'ZERO-B Beregning'!F174))*_xlfn.XLOOKUP(51, År_etter_ferdigstillelse, f_tid_x_f_tek_d_0_01))</f>
        <v>0</v>
      </c>
      <c r="AD71" s="577">
        <f>IF(('Inndata Bygg'!G74+'Inndata Bygg'!O74+'Inndata Bygg'!S74) = 0, 0,1.833*('Inndata Bygg'!G74*('Inndata Bygg'!L74*0.5+'Inndata Bygg'!M74*0.8)+'Inndata Bygg'!O74*'Inndata Bygg'!Q74+'Inndata Bygg'!S74*'Inndata Bygg'!U74)*AG71*_xlfn.XLOOKUP(51, År_etter_ferdigstillelse,  f_tid_x_f_tek_d_0_01))</f>
        <v>0</v>
      </c>
      <c r="AE71" s="575" cm="1">
        <f t="array" ref="AE71">CalculateEmissionsReductionFromReuse('ZERO-B Beregning'!$D$17,'Inndata Bygg'!H74,'Inndata Bygg'!G74,'Inndata Bygg'!Z74,'Inndata Bygg'!X74,'Inndata Bygg'!Y74,F71,'Inndata Bygg'!B74)</f>
        <v>0</v>
      </c>
      <c r="AF71" s="333" cm="1">
        <f t="array" ref="AF71">CalculateEmissionReductionFromRecycling('ZERO-B Beregning'!$D$17,'Inndata Bygg'!H74,'Inndata Bygg'!G74,'Inndata Bygg'!AA74,'Inndata Bygg'!X74,'Inndata Bygg'!Y74,F71,'Inndata Bygg'!B74)</f>
        <v>0</v>
      </c>
      <c r="AG71" s="572">
        <f>IF(('Inndata Bygg'!G74+'Inndata Bygg'!O74+'Inndata Bygg'!S74) = 0, 0,'Inndata Bygg'!X74*Faktorer!$Z$58)</f>
        <v>0</v>
      </c>
      <c r="AH71" s="573">
        <f>IF(('Inndata Bygg'!G74+'Inndata Bygg'!O74+'Inndata Bygg'!S74) = 0, 0,'Inndata Bygg'!Z74+('Inndata Bygg'!X74+'Inndata Bygg'!Y74)*(1-Faktorer!$Z$58)*0.5)</f>
        <v>0</v>
      </c>
      <c r="AI71" s="574">
        <f>IF(('Inndata Bygg'!G74+'Inndata Bygg'!O74+'Inndata Bygg'!S74) = 0, 0,'Inndata Bygg'!AA74+('Inndata Bygg'!X74+'Inndata Bygg'!Y74)*(1-Faktorer!$Z$58)*0.5)</f>
        <v>0</v>
      </c>
      <c r="AJ71" s="634"/>
      <c r="AK71" s="90">
        <f t="shared" si="2"/>
        <v>0</v>
      </c>
      <c r="AL71" s="91">
        <f>'Resultater detaljert Bygg'!N71</f>
        <v>0</v>
      </c>
      <c r="AM71" s="91" t="str">
        <f>IF(F71=0,"",('Inndata Bygg'!E74+'Inndata Bygg'!F74)*ROUNDDOWN('Inndata Bygg'!I74,0)*(1+'Inndata Bygg'!K74))</f>
        <v/>
      </c>
    </row>
    <row r="72" spans="2:39">
      <c r="B72" s="339">
        <f>'Inndata Bygg'!B75</f>
        <v>0</v>
      </c>
      <c r="C72" s="340">
        <f>'Inndata Bygg'!C75</f>
        <v>0</v>
      </c>
      <c r="D72" s="341">
        <f>'Inndata Bygg'!D75</f>
        <v>0</v>
      </c>
      <c r="E72" s="421" cm="1">
        <f t="array" ref="E72">SUM(IFERROR(F72:AD72,0))</f>
        <v>0</v>
      </c>
      <c r="F72" s="330">
        <f>'Inndata Bygg'!E75</f>
        <v>0</v>
      </c>
      <c r="G72" s="330">
        <f>IF('Inndata Bygg'!AB75="Ja", -0.8*'Resultater detaljert Bygg'!F72, 0)</f>
        <v>0</v>
      </c>
      <c r="H72" s="330">
        <f>IF('Inndata Bygg'!AC75="Ja", -0.4*'Resultater detaljert Bygg'!$F72, 0)</f>
        <v>0</v>
      </c>
      <c r="I72" s="330">
        <f>IF('Inndata Bygg'!AD75="Ja", -1*'Resultater detaljert Bygg'!$F72, 0)</f>
        <v>0</v>
      </c>
      <c r="J72" s="330">
        <f>'Inndata Bygg'!O75*'Inndata Bygg'!P75</f>
        <v>0</v>
      </c>
      <c r="K72" s="330">
        <f>MAX(-0.75*(SUM('Resultater detaljert Bygg'!F72:J72)),-'Inndata Bygg'!O75*'Inndata Bygg'!Q75)</f>
        <v>0</v>
      </c>
      <c r="L72" s="330">
        <f>'Inndata Bygg'!S75*'Inndata Bygg'!T75</f>
        <v>0</v>
      </c>
      <c r="M72" s="330">
        <f>MAX(-0.75*(SUM('Resultater detaljert Bygg'!F72:I72,L72)),-'Inndata Bygg'!S75*'Inndata Bygg'!U75)</f>
        <v>0</v>
      </c>
      <c r="N72" s="331">
        <f>'Inndata Bygg'!F75</f>
        <v>0</v>
      </c>
      <c r="O72" s="330">
        <f>'Inndata Bygg'!O75*'Inndata Bygg'!R75</f>
        <v>0</v>
      </c>
      <c r="P72" s="332">
        <f>'Inndata Bygg'!S75*'Inndata Bygg'!V75</f>
        <v>0</v>
      </c>
      <c r="Q72" s="493">
        <f>SUM(F72:J72,L72)*'Inndata Bygg'!K75</f>
        <v>0</v>
      </c>
      <c r="R72" s="333">
        <f>(K72+M72)*'Inndata Bygg'!K75</f>
        <v>0</v>
      </c>
      <c r="S72" s="493">
        <f>N72*'Inndata Bygg'!K75</f>
        <v>0</v>
      </c>
      <c r="T72" s="494">
        <f>'Inndata Bygg'!G75*'Inndata Bygg'!K75*Transport_utslipp_til_avfallshånderting_per_kg</f>
        <v>0</v>
      </c>
      <c r="U72" s="330">
        <f>IF('Inndata Bygg'!E75 = 0, 0, 1.833*'Inndata Bygg'!X75*'Inndata Bygg'!K75*('Inndata Bygg'!G75*('Inndata Bygg'!L75*0.5+'Inndata Bygg'!M75*0.8) + (12/44)*('Inndata Bygg'!O75*'Inndata Bygg'!Q75+'Inndata Bygg'!S75*'Inndata Bygg'!U75)))</f>
        <v>0</v>
      </c>
      <c r="V72" s="335" cm="1">
        <f t="array" ref="V72">CalculateBiogenicCarbonUptake('ZERO-B Beregning'!$D$17,'Inndata Bygg'!H75,'Inndata Bygg'!G75,'Inndata Bygg'!L75,F72,AB72,AC72,AD72)</f>
        <v>0</v>
      </c>
      <c r="W72" s="576" cm="1">
        <f t="array" ref="W72">CalculateCementCarbonUptake('ZERO-B Beregning'!$D$17,'Inndata Bygg'!H75,'Inndata Bygg'!G75,'Inndata Bygg'!N75)</f>
        <v>0</v>
      </c>
      <c r="X72" s="331" cm="1">
        <f t="array" ref="X72">IF(SUM(F72:J72,L72)=0, 0, SUM(F72:J72,L72)*(1+'Inndata Bygg'!K75)*IF('Inndata Bygg'!H75&gt;50, 0, _xlfn.XLOOKUP('Inndata Bygg'!H75, År_etter_ferdigstillelse, IF(VALUE(LEFT('Inndata Bygg'!B75, 2))= 49, f_tid_x_f_tek_d_0_037_kumulativ, f_tid_x_f_tek_d_0_01_kumulativ))))</f>
        <v>0</v>
      </c>
      <c r="Y72" s="330">
        <f>IF(X72=0, 0, SUM(K72,M72)*(1+'Inndata Bygg'!K75)*IF('Inndata Bygg'!H75&gt;50, 0, _xlfn.XLOOKUP('Inndata Bygg'!H75, År_etter_ferdigstillelse, f_tid_x_f_tek_d_0_01_kumulativ)))</f>
        <v>0</v>
      </c>
      <c r="Z72" s="336">
        <f>IF(X72=0, 0, SUM(N72:P72)*(1+'Inndata Bygg'!K75)*IF('Inndata Bygg'!H75&gt;50, 0, _xlfn.XLOOKUP('Inndata Bygg'!H75, År_etter_ferdigstillelse, f_tid_x_f_tek_d_0_01_kumulativ)))</f>
        <v>0</v>
      </c>
      <c r="AA72" s="336">
        <f>IF(X72=0, 0, ('Inndata Bygg'!G75+'Inndata Bygg'!O75+'Inndata Bygg'!S75)*(1+'Inndata Bygg'!K75)*Transport_utslipp_til_avfallshånderting_per_kg*IF('Inndata Bygg'!H75&gt;50, 0, _xlfn.XLOOKUP('Inndata Bygg'!H75, År_etter_ferdigstillelse, f_tid_x_f_tek_d_0_01_kumulativ)))</f>
        <v>0</v>
      </c>
      <c r="AB72" s="580" cm="1">
        <f t="array" ref="AB72">CalculateEmissionsFromIncinerationOfWaste('ZERO-B Beregning'!$D$17,'Inndata Bygg'!H75,'Inndata Bygg'!G75,'Inndata Bygg'!X75,'Inndata Bygg'!L75,'Inndata Bygg'!M75,'Inndata Bygg'!B75)</f>
        <v>0</v>
      </c>
      <c r="AC72" s="335">
        <f>IF(('Inndata Bygg'!G75+'Inndata Bygg'!O75+'Inndata Bygg'!S75) = 0, 0,('Inndata Bygg'!G75+'Inndata Bygg'!O75+'Inndata Bygg'!S75)*(('Inndata Bygg'!X75+'Inndata Bygg'!Y75+'Inndata Bygg'!AA75)*Transport_utslipp_til_avfallshånderting_per_kg+('Inndata Bygg'!Z75*'ZERO-B Beregning'!D174/1000)*IF('ZERO-B Beregning'!F175=0,'ZERO-B Beregning'!D175,'ZERO-B Beregning'!F175))*_xlfn.XLOOKUP(51, År_etter_ferdigstillelse, f_tid_x_f_tek_d_0_01))</f>
        <v>0</v>
      </c>
      <c r="AD72" s="577">
        <f>IF(('Inndata Bygg'!G75+'Inndata Bygg'!O75+'Inndata Bygg'!S75) = 0, 0,1.833*('Inndata Bygg'!G75*('Inndata Bygg'!L75*0.5+'Inndata Bygg'!M75*0.8)+'Inndata Bygg'!O75*'Inndata Bygg'!Q75+'Inndata Bygg'!S75*'Inndata Bygg'!U75)*AG72*_xlfn.XLOOKUP(51, År_etter_ferdigstillelse,  f_tid_x_f_tek_d_0_01))</f>
        <v>0</v>
      </c>
      <c r="AE72" s="575" cm="1">
        <f t="array" ref="AE72">CalculateEmissionsReductionFromReuse('ZERO-B Beregning'!$D$17,'Inndata Bygg'!H75,'Inndata Bygg'!G75,'Inndata Bygg'!Z75,'Inndata Bygg'!X75,'Inndata Bygg'!Y75,F72,'Inndata Bygg'!B75)</f>
        <v>0</v>
      </c>
      <c r="AF72" s="333" cm="1">
        <f t="array" ref="AF72">CalculateEmissionReductionFromRecycling('ZERO-B Beregning'!$D$17,'Inndata Bygg'!H75,'Inndata Bygg'!G75,'Inndata Bygg'!AA75,'Inndata Bygg'!X75,'Inndata Bygg'!Y75,F72,'Inndata Bygg'!B75)</f>
        <v>0</v>
      </c>
      <c r="AG72" s="572">
        <f>IF(('Inndata Bygg'!G75+'Inndata Bygg'!O75+'Inndata Bygg'!S75) = 0, 0,'Inndata Bygg'!X75*Faktorer!$Z$58)</f>
        <v>0</v>
      </c>
      <c r="AH72" s="573">
        <f>IF(('Inndata Bygg'!G75+'Inndata Bygg'!O75+'Inndata Bygg'!S75) = 0, 0,'Inndata Bygg'!Z75+('Inndata Bygg'!X75+'Inndata Bygg'!Y75)*(1-Faktorer!$Z$58)*0.5)</f>
        <v>0</v>
      </c>
      <c r="AI72" s="574">
        <f>IF(('Inndata Bygg'!G75+'Inndata Bygg'!O75+'Inndata Bygg'!S75) = 0, 0,'Inndata Bygg'!AA75+('Inndata Bygg'!X75+'Inndata Bygg'!Y75)*(1-Faktorer!$Z$58)*0.5)</f>
        <v>0</v>
      </c>
      <c r="AJ72" s="634"/>
      <c r="AK72" s="90">
        <f t="shared" si="2"/>
        <v>0</v>
      </c>
      <c r="AL72" s="91">
        <f>'Resultater detaljert Bygg'!N72</f>
        <v>0</v>
      </c>
      <c r="AM72" s="91" t="str">
        <f>IF(F72=0,"",('Inndata Bygg'!E75+'Inndata Bygg'!F75)*ROUNDDOWN('Inndata Bygg'!I75,0)*(1+'Inndata Bygg'!K75))</f>
        <v/>
      </c>
    </row>
    <row r="73" spans="2:39">
      <c r="B73" s="339">
        <f>'Inndata Bygg'!B76</f>
        <v>0</v>
      </c>
      <c r="C73" s="340">
        <f>'Inndata Bygg'!C76</f>
        <v>0</v>
      </c>
      <c r="D73" s="341">
        <f>'Inndata Bygg'!D76</f>
        <v>0</v>
      </c>
      <c r="E73" s="421" cm="1">
        <f t="array" ref="E73">SUM(IFERROR(F73:AD73,0))</f>
        <v>0</v>
      </c>
      <c r="F73" s="330">
        <f>'Inndata Bygg'!E76</f>
        <v>0</v>
      </c>
      <c r="G73" s="330">
        <f>IF('Inndata Bygg'!AB76="Ja", -0.8*'Resultater detaljert Bygg'!F73, 0)</f>
        <v>0</v>
      </c>
      <c r="H73" s="330">
        <f>IF('Inndata Bygg'!AC76="Ja", -0.4*'Resultater detaljert Bygg'!$F73, 0)</f>
        <v>0</v>
      </c>
      <c r="I73" s="330">
        <f>IF('Inndata Bygg'!AD76="Ja", -1*'Resultater detaljert Bygg'!$F73, 0)</f>
        <v>0</v>
      </c>
      <c r="J73" s="330">
        <f>'Inndata Bygg'!O76*'Inndata Bygg'!P76</f>
        <v>0</v>
      </c>
      <c r="K73" s="330">
        <f>MAX(-0.75*(SUM('Resultater detaljert Bygg'!F73:J73)),-'Inndata Bygg'!O76*'Inndata Bygg'!Q76)</f>
        <v>0</v>
      </c>
      <c r="L73" s="330">
        <f>'Inndata Bygg'!S76*'Inndata Bygg'!T76</f>
        <v>0</v>
      </c>
      <c r="M73" s="330">
        <f>MAX(-0.75*(SUM('Resultater detaljert Bygg'!F73:I73,L73)),-'Inndata Bygg'!S76*'Inndata Bygg'!U76)</f>
        <v>0</v>
      </c>
      <c r="N73" s="331">
        <f>'Inndata Bygg'!F76</f>
        <v>0</v>
      </c>
      <c r="O73" s="330">
        <f>'Inndata Bygg'!O76*'Inndata Bygg'!R76</f>
        <v>0</v>
      </c>
      <c r="P73" s="332">
        <f>'Inndata Bygg'!S76*'Inndata Bygg'!V76</f>
        <v>0</v>
      </c>
      <c r="Q73" s="493">
        <f>SUM(F73:J73,L73)*'Inndata Bygg'!K76</f>
        <v>0</v>
      </c>
      <c r="R73" s="333">
        <f>(K73+M73)*'Inndata Bygg'!K76</f>
        <v>0</v>
      </c>
      <c r="S73" s="493">
        <f>N73*'Inndata Bygg'!K76</f>
        <v>0</v>
      </c>
      <c r="T73" s="494">
        <f>'Inndata Bygg'!G76*'Inndata Bygg'!K76*Transport_utslipp_til_avfallshånderting_per_kg</f>
        <v>0</v>
      </c>
      <c r="U73" s="330">
        <f>IF('Inndata Bygg'!E76 = 0, 0, 1.833*'Inndata Bygg'!X76*'Inndata Bygg'!K76*('Inndata Bygg'!G76*('Inndata Bygg'!L76*0.5+'Inndata Bygg'!M76*0.8) + (12/44)*('Inndata Bygg'!O76*'Inndata Bygg'!Q76+'Inndata Bygg'!S76*'Inndata Bygg'!U76)))</f>
        <v>0</v>
      </c>
      <c r="V73" s="335" cm="1">
        <f t="array" ref="V73">CalculateBiogenicCarbonUptake('ZERO-B Beregning'!$D$17,'Inndata Bygg'!H76,'Inndata Bygg'!G76,'Inndata Bygg'!L76,F73,AB73,AC73,AD73)</f>
        <v>0</v>
      </c>
      <c r="W73" s="576" cm="1">
        <f t="array" ref="W73">CalculateCementCarbonUptake('ZERO-B Beregning'!$D$17,'Inndata Bygg'!H76,'Inndata Bygg'!G76,'Inndata Bygg'!N76)</f>
        <v>0</v>
      </c>
      <c r="X73" s="331" cm="1">
        <f t="array" ref="X73">IF(SUM(F73:J73,L73)=0, 0, SUM(F73:J73,L73)*(1+'Inndata Bygg'!K76)*IF('Inndata Bygg'!H76&gt;50, 0, _xlfn.XLOOKUP('Inndata Bygg'!H76, År_etter_ferdigstillelse, IF(VALUE(LEFT('Inndata Bygg'!B76, 2))= 49, f_tid_x_f_tek_d_0_037_kumulativ, f_tid_x_f_tek_d_0_01_kumulativ))))</f>
        <v>0</v>
      </c>
      <c r="Y73" s="330">
        <f>IF(X73=0, 0, SUM(K73,M73)*(1+'Inndata Bygg'!K76)*IF('Inndata Bygg'!H76&gt;50, 0, _xlfn.XLOOKUP('Inndata Bygg'!H76, År_etter_ferdigstillelse, f_tid_x_f_tek_d_0_01_kumulativ)))</f>
        <v>0</v>
      </c>
      <c r="Z73" s="336">
        <f>IF(X73=0, 0, SUM(N73:P73)*(1+'Inndata Bygg'!K76)*IF('Inndata Bygg'!H76&gt;50, 0, _xlfn.XLOOKUP('Inndata Bygg'!H76, År_etter_ferdigstillelse, f_tid_x_f_tek_d_0_01_kumulativ)))</f>
        <v>0</v>
      </c>
      <c r="AA73" s="336">
        <f>IF(X73=0, 0, ('Inndata Bygg'!G76+'Inndata Bygg'!O76+'Inndata Bygg'!S76)*(1+'Inndata Bygg'!K76)*Transport_utslipp_til_avfallshånderting_per_kg*IF('Inndata Bygg'!H76&gt;50, 0, _xlfn.XLOOKUP('Inndata Bygg'!H76, År_etter_ferdigstillelse, f_tid_x_f_tek_d_0_01_kumulativ)))</f>
        <v>0</v>
      </c>
      <c r="AB73" s="580" cm="1">
        <f t="array" ref="AB73">CalculateEmissionsFromIncinerationOfWaste('ZERO-B Beregning'!$D$17,'Inndata Bygg'!H76,'Inndata Bygg'!G76,'Inndata Bygg'!X76,'Inndata Bygg'!L76,'Inndata Bygg'!M76,'Inndata Bygg'!B76)</f>
        <v>0</v>
      </c>
      <c r="AC73" s="335">
        <f>IF(('Inndata Bygg'!G76+'Inndata Bygg'!O76+'Inndata Bygg'!S76) = 0, 0,('Inndata Bygg'!G76+'Inndata Bygg'!O76+'Inndata Bygg'!S76)*(('Inndata Bygg'!X76+'Inndata Bygg'!Y76+'Inndata Bygg'!AA76)*Transport_utslipp_til_avfallshånderting_per_kg+('Inndata Bygg'!Z76*'ZERO-B Beregning'!D175/1000)*IF('ZERO-B Beregning'!F176=0,'ZERO-B Beregning'!D176,'ZERO-B Beregning'!F176))*_xlfn.XLOOKUP(51, År_etter_ferdigstillelse, f_tid_x_f_tek_d_0_01))</f>
        <v>0</v>
      </c>
      <c r="AD73" s="577">
        <f>IF(('Inndata Bygg'!G76+'Inndata Bygg'!O76+'Inndata Bygg'!S76) = 0, 0,1.833*('Inndata Bygg'!G76*('Inndata Bygg'!L76*0.5+'Inndata Bygg'!M76*0.8)+'Inndata Bygg'!O76*'Inndata Bygg'!Q76+'Inndata Bygg'!S76*'Inndata Bygg'!U76)*AG73*_xlfn.XLOOKUP(51, År_etter_ferdigstillelse,  f_tid_x_f_tek_d_0_01))</f>
        <v>0</v>
      </c>
      <c r="AE73" s="575" cm="1">
        <f t="array" ref="AE73">CalculateEmissionsReductionFromReuse('ZERO-B Beregning'!$D$17,'Inndata Bygg'!H76,'Inndata Bygg'!G76,'Inndata Bygg'!Z76,'Inndata Bygg'!X76,'Inndata Bygg'!Y76,F73,'Inndata Bygg'!B76)</f>
        <v>0</v>
      </c>
      <c r="AF73" s="333" cm="1">
        <f t="array" ref="AF73">CalculateEmissionReductionFromRecycling('ZERO-B Beregning'!$D$17,'Inndata Bygg'!H76,'Inndata Bygg'!G76,'Inndata Bygg'!AA76,'Inndata Bygg'!X76,'Inndata Bygg'!Y76,F73,'Inndata Bygg'!B76)</f>
        <v>0</v>
      </c>
      <c r="AG73" s="572">
        <f>IF(('Inndata Bygg'!G76+'Inndata Bygg'!O76+'Inndata Bygg'!S76) = 0, 0,'Inndata Bygg'!X76*Faktorer!$Z$58)</f>
        <v>0</v>
      </c>
      <c r="AH73" s="573">
        <f>IF(('Inndata Bygg'!G76+'Inndata Bygg'!O76+'Inndata Bygg'!S76) = 0, 0,'Inndata Bygg'!Z76+('Inndata Bygg'!X76+'Inndata Bygg'!Y76)*(1-Faktorer!$Z$58)*0.5)</f>
        <v>0</v>
      </c>
      <c r="AI73" s="574">
        <f>IF(('Inndata Bygg'!G76+'Inndata Bygg'!O76+'Inndata Bygg'!S76) = 0, 0,'Inndata Bygg'!AA76+('Inndata Bygg'!X76+'Inndata Bygg'!Y76)*(1-Faktorer!$Z$58)*0.5)</f>
        <v>0</v>
      </c>
      <c r="AJ73" s="634"/>
      <c r="AK73" s="90">
        <f t="shared" si="2"/>
        <v>0</v>
      </c>
      <c r="AL73" s="91">
        <f>'Resultater detaljert Bygg'!N73</f>
        <v>0</v>
      </c>
      <c r="AM73" s="91" t="str">
        <f>IF(F73=0,"",('Inndata Bygg'!E76+'Inndata Bygg'!F76)*ROUNDDOWN('Inndata Bygg'!I76,0)*(1+'Inndata Bygg'!K76))</f>
        <v/>
      </c>
    </row>
    <row r="74" spans="2:39">
      <c r="B74" s="339">
        <f>'Inndata Bygg'!B77</f>
        <v>0</v>
      </c>
      <c r="C74" s="340">
        <f>'Inndata Bygg'!C77</f>
        <v>0</v>
      </c>
      <c r="D74" s="341">
        <f>'Inndata Bygg'!D77</f>
        <v>0</v>
      </c>
      <c r="E74" s="421" cm="1">
        <f t="array" ref="E74">SUM(IFERROR(F74:AD74,0))</f>
        <v>0</v>
      </c>
      <c r="F74" s="330">
        <f>'Inndata Bygg'!E77</f>
        <v>0</v>
      </c>
      <c r="G74" s="330">
        <f>IF('Inndata Bygg'!AB77="Ja", -0.8*'Resultater detaljert Bygg'!F74, 0)</f>
        <v>0</v>
      </c>
      <c r="H74" s="330">
        <f>IF('Inndata Bygg'!AC77="Ja", -0.4*'Resultater detaljert Bygg'!$F74, 0)</f>
        <v>0</v>
      </c>
      <c r="I74" s="330">
        <f>IF('Inndata Bygg'!AD77="Ja", -1*'Resultater detaljert Bygg'!$F74, 0)</f>
        <v>0</v>
      </c>
      <c r="J74" s="330">
        <f>'Inndata Bygg'!O77*'Inndata Bygg'!P77</f>
        <v>0</v>
      </c>
      <c r="K74" s="330">
        <f>MAX(-0.75*(SUM('Resultater detaljert Bygg'!F74:J74)),-'Inndata Bygg'!O77*'Inndata Bygg'!Q77)</f>
        <v>0</v>
      </c>
      <c r="L74" s="330">
        <f>'Inndata Bygg'!S77*'Inndata Bygg'!T77</f>
        <v>0</v>
      </c>
      <c r="M74" s="330">
        <f>MAX(-0.75*(SUM('Resultater detaljert Bygg'!F74:I74,L74)),-'Inndata Bygg'!S77*'Inndata Bygg'!U77)</f>
        <v>0</v>
      </c>
      <c r="N74" s="331">
        <f>'Inndata Bygg'!F77</f>
        <v>0</v>
      </c>
      <c r="O74" s="330">
        <f>'Inndata Bygg'!O77*'Inndata Bygg'!R77</f>
        <v>0</v>
      </c>
      <c r="P74" s="332">
        <f>'Inndata Bygg'!S77*'Inndata Bygg'!V77</f>
        <v>0</v>
      </c>
      <c r="Q74" s="493">
        <f>SUM(F74:J74,L74)*'Inndata Bygg'!K77</f>
        <v>0</v>
      </c>
      <c r="R74" s="333">
        <f>(K74+M74)*'Inndata Bygg'!K77</f>
        <v>0</v>
      </c>
      <c r="S74" s="493">
        <f>N74*'Inndata Bygg'!K77</f>
        <v>0</v>
      </c>
      <c r="T74" s="494">
        <f>'Inndata Bygg'!G77*'Inndata Bygg'!K77*Transport_utslipp_til_avfallshånderting_per_kg</f>
        <v>0</v>
      </c>
      <c r="U74" s="330">
        <f>IF('Inndata Bygg'!E77 = 0, 0, 1.833*'Inndata Bygg'!X77*'Inndata Bygg'!K77*('Inndata Bygg'!G77*('Inndata Bygg'!L77*0.5+'Inndata Bygg'!M77*0.8) + (12/44)*('Inndata Bygg'!O77*'Inndata Bygg'!Q77+'Inndata Bygg'!S77*'Inndata Bygg'!U77)))</f>
        <v>0</v>
      </c>
      <c r="V74" s="335" cm="1">
        <f t="array" ref="V74">CalculateBiogenicCarbonUptake('ZERO-B Beregning'!$D$17,'Inndata Bygg'!H77,'Inndata Bygg'!G77,'Inndata Bygg'!L77,F74,AB74,AC74,AD74)</f>
        <v>0</v>
      </c>
      <c r="W74" s="576" cm="1">
        <f t="array" ref="W74">CalculateCementCarbonUptake('ZERO-B Beregning'!$D$17,'Inndata Bygg'!H77,'Inndata Bygg'!G77,'Inndata Bygg'!N77)</f>
        <v>0</v>
      </c>
      <c r="X74" s="331" cm="1">
        <f t="array" ref="X74">IF(SUM(F74:J74,L74)=0, 0, SUM(F74:J74,L74)*(1+'Inndata Bygg'!K77)*IF('Inndata Bygg'!H77&gt;50, 0, _xlfn.XLOOKUP('Inndata Bygg'!H77, År_etter_ferdigstillelse, IF(VALUE(LEFT('Inndata Bygg'!B77, 2))= 49, f_tid_x_f_tek_d_0_037_kumulativ, f_tid_x_f_tek_d_0_01_kumulativ))))</f>
        <v>0</v>
      </c>
      <c r="Y74" s="330">
        <f>IF(X74=0, 0, SUM(K74,M74)*(1+'Inndata Bygg'!K77)*IF('Inndata Bygg'!H77&gt;50, 0, _xlfn.XLOOKUP('Inndata Bygg'!H77, År_etter_ferdigstillelse, f_tid_x_f_tek_d_0_01_kumulativ)))</f>
        <v>0</v>
      </c>
      <c r="Z74" s="336">
        <f>IF(X74=0, 0, SUM(N74:P74)*(1+'Inndata Bygg'!K77)*IF('Inndata Bygg'!H77&gt;50, 0, _xlfn.XLOOKUP('Inndata Bygg'!H77, År_etter_ferdigstillelse, f_tid_x_f_tek_d_0_01_kumulativ)))</f>
        <v>0</v>
      </c>
      <c r="AA74" s="336">
        <f>IF(X74=0, 0, ('Inndata Bygg'!G77+'Inndata Bygg'!O77+'Inndata Bygg'!S77)*(1+'Inndata Bygg'!K77)*Transport_utslipp_til_avfallshånderting_per_kg*IF('Inndata Bygg'!H77&gt;50, 0, _xlfn.XLOOKUP('Inndata Bygg'!H77, År_etter_ferdigstillelse, f_tid_x_f_tek_d_0_01_kumulativ)))</f>
        <v>0</v>
      </c>
      <c r="AB74" s="580" cm="1">
        <f t="array" ref="AB74">CalculateEmissionsFromIncinerationOfWaste('ZERO-B Beregning'!$D$17,'Inndata Bygg'!H77,'Inndata Bygg'!G77,'Inndata Bygg'!X77,'Inndata Bygg'!L77,'Inndata Bygg'!M77,'Inndata Bygg'!B77)</f>
        <v>0</v>
      </c>
      <c r="AC74" s="335">
        <f>IF(('Inndata Bygg'!G77+'Inndata Bygg'!O77+'Inndata Bygg'!S77) = 0, 0,('Inndata Bygg'!G77+'Inndata Bygg'!O77+'Inndata Bygg'!S77)*(('Inndata Bygg'!X77+'Inndata Bygg'!Y77+'Inndata Bygg'!AA77)*Transport_utslipp_til_avfallshånderting_per_kg+('Inndata Bygg'!Z77*'ZERO-B Beregning'!D176/1000)*IF('ZERO-B Beregning'!F177=0,'ZERO-B Beregning'!D177,'ZERO-B Beregning'!F177))*_xlfn.XLOOKUP(51, År_etter_ferdigstillelse, f_tid_x_f_tek_d_0_01))</f>
        <v>0</v>
      </c>
      <c r="AD74" s="577">
        <f>IF(('Inndata Bygg'!G77+'Inndata Bygg'!O77+'Inndata Bygg'!S77) = 0, 0,1.833*('Inndata Bygg'!G77*('Inndata Bygg'!L77*0.5+'Inndata Bygg'!M77*0.8)+'Inndata Bygg'!O77*'Inndata Bygg'!Q77+'Inndata Bygg'!S77*'Inndata Bygg'!U77)*AG74*_xlfn.XLOOKUP(51, År_etter_ferdigstillelse,  f_tid_x_f_tek_d_0_01))</f>
        <v>0</v>
      </c>
      <c r="AE74" s="575" cm="1">
        <f t="array" ref="AE74">CalculateEmissionsReductionFromReuse('ZERO-B Beregning'!$D$17,'Inndata Bygg'!H77,'Inndata Bygg'!G77,'Inndata Bygg'!Z77,'Inndata Bygg'!X77,'Inndata Bygg'!Y77,F74,'Inndata Bygg'!B77)</f>
        <v>0</v>
      </c>
      <c r="AF74" s="333" cm="1">
        <f t="array" ref="AF74">CalculateEmissionReductionFromRecycling('ZERO-B Beregning'!$D$17,'Inndata Bygg'!H77,'Inndata Bygg'!G77,'Inndata Bygg'!AA77,'Inndata Bygg'!X77,'Inndata Bygg'!Y77,F74,'Inndata Bygg'!B77)</f>
        <v>0</v>
      </c>
      <c r="AG74" s="572">
        <f>IF(('Inndata Bygg'!G77+'Inndata Bygg'!O77+'Inndata Bygg'!S77) = 0, 0,'Inndata Bygg'!X77*Faktorer!$Z$58)</f>
        <v>0</v>
      </c>
      <c r="AH74" s="573">
        <f>IF(('Inndata Bygg'!G77+'Inndata Bygg'!O77+'Inndata Bygg'!S77) = 0, 0,'Inndata Bygg'!Z77+('Inndata Bygg'!X77+'Inndata Bygg'!Y77)*(1-Faktorer!$Z$58)*0.5)</f>
        <v>0</v>
      </c>
      <c r="AI74" s="574">
        <f>IF(('Inndata Bygg'!G77+'Inndata Bygg'!O77+'Inndata Bygg'!S77) = 0, 0,'Inndata Bygg'!AA77+('Inndata Bygg'!X77+'Inndata Bygg'!Y77)*(1-Faktorer!$Z$58)*0.5)</f>
        <v>0</v>
      </c>
      <c r="AJ74" s="634"/>
      <c r="AK74" s="90">
        <f t="shared" si="2"/>
        <v>0</v>
      </c>
      <c r="AL74" s="91">
        <f>'Resultater detaljert Bygg'!N74</f>
        <v>0</v>
      </c>
      <c r="AM74" s="91" t="str">
        <f>IF(F74=0,"",('Inndata Bygg'!E77+'Inndata Bygg'!F77)*ROUNDDOWN('Inndata Bygg'!I77,0)*(1+'Inndata Bygg'!K77))</f>
        <v/>
      </c>
    </row>
    <row r="75" spans="2:39">
      <c r="B75" s="339">
        <f>'Inndata Bygg'!B78</f>
        <v>0</v>
      </c>
      <c r="C75" s="340">
        <f>'Inndata Bygg'!C78</f>
        <v>0</v>
      </c>
      <c r="D75" s="341">
        <f>'Inndata Bygg'!D78</f>
        <v>0</v>
      </c>
      <c r="E75" s="421" cm="1">
        <f t="array" ref="E75">SUM(IFERROR(F75:AD75,0))</f>
        <v>0</v>
      </c>
      <c r="F75" s="330">
        <f>'Inndata Bygg'!E78</f>
        <v>0</v>
      </c>
      <c r="G75" s="330">
        <f>IF('Inndata Bygg'!AB78="Ja", -0.8*'Resultater detaljert Bygg'!F75, 0)</f>
        <v>0</v>
      </c>
      <c r="H75" s="330">
        <f>IF('Inndata Bygg'!AC78="Ja", -0.4*'Resultater detaljert Bygg'!$F75, 0)</f>
        <v>0</v>
      </c>
      <c r="I75" s="330">
        <f>IF('Inndata Bygg'!AD78="Ja", -1*'Resultater detaljert Bygg'!$F75, 0)</f>
        <v>0</v>
      </c>
      <c r="J75" s="330">
        <f>'Inndata Bygg'!O78*'Inndata Bygg'!P78</f>
        <v>0</v>
      </c>
      <c r="K75" s="330">
        <f>MAX(-0.75*(SUM('Resultater detaljert Bygg'!F75:J75)),-'Inndata Bygg'!O78*'Inndata Bygg'!Q78)</f>
        <v>0</v>
      </c>
      <c r="L75" s="330">
        <f>'Inndata Bygg'!S78*'Inndata Bygg'!T78</f>
        <v>0</v>
      </c>
      <c r="M75" s="330">
        <f>MAX(-0.75*(SUM('Resultater detaljert Bygg'!F75:I75,L75)),-'Inndata Bygg'!S78*'Inndata Bygg'!U78)</f>
        <v>0</v>
      </c>
      <c r="N75" s="331">
        <f>'Inndata Bygg'!F78</f>
        <v>0</v>
      </c>
      <c r="O75" s="330">
        <f>'Inndata Bygg'!O78*'Inndata Bygg'!R78</f>
        <v>0</v>
      </c>
      <c r="P75" s="332">
        <f>'Inndata Bygg'!S78*'Inndata Bygg'!V78</f>
        <v>0</v>
      </c>
      <c r="Q75" s="493">
        <f>SUM(F75:J75,L75)*'Inndata Bygg'!K78</f>
        <v>0</v>
      </c>
      <c r="R75" s="333">
        <f>(K75+M75)*'Inndata Bygg'!K78</f>
        <v>0</v>
      </c>
      <c r="S75" s="493">
        <f>N75*'Inndata Bygg'!K78</f>
        <v>0</v>
      </c>
      <c r="T75" s="494">
        <f>'Inndata Bygg'!G78*'Inndata Bygg'!K78*Transport_utslipp_til_avfallshånderting_per_kg</f>
        <v>0</v>
      </c>
      <c r="U75" s="330">
        <f>IF('Inndata Bygg'!E78 = 0, 0, 1.833*'Inndata Bygg'!X78*'Inndata Bygg'!K78*('Inndata Bygg'!G78*('Inndata Bygg'!L78*0.5+'Inndata Bygg'!M78*0.8) + (12/44)*('Inndata Bygg'!O78*'Inndata Bygg'!Q78+'Inndata Bygg'!S78*'Inndata Bygg'!U78)))</f>
        <v>0</v>
      </c>
      <c r="V75" s="335" cm="1">
        <f t="array" ref="V75">CalculateBiogenicCarbonUptake('ZERO-B Beregning'!$D$17,'Inndata Bygg'!H78,'Inndata Bygg'!G78,'Inndata Bygg'!L78,F75,AB75,AC75,AD75)</f>
        <v>0</v>
      </c>
      <c r="W75" s="576" cm="1">
        <f t="array" ref="W75">CalculateCementCarbonUptake('ZERO-B Beregning'!$D$17,'Inndata Bygg'!H78,'Inndata Bygg'!G78,'Inndata Bygg'!N78)</f>
        <v>0</v>
      </c>
      <c r="X75" s="331" cm="1">
        <f t="array" ref="X75">IF(SUM(F75:J75,L75)=0, 0, SUM(F75:J75,L75)*(1+'Inndata Bygg'!K78)*IF('Inndata Bygg'!H78&gt;50, 0, _xlfn.XLOOKUP('Inndata Bygg'!H78, År_etter_ferdigstillelse, IF(VALUE(LEFT('Inndata Bygg'!B78, 2))= 49, f_tid_x_f_tek_d_0_037_kumulativ, f_tid_x_f_tek_d_0_01_kumulativ))))</f>
        <v>0</v>
      </c>
      <c r="Y75" s="330">
        <f>IF(X75=0, 0, SUM(K75,M75)*(1+'Inndata Bygg'!K78)*IF('Inndata Bygg'!H78&gt;50, 0, _xlfn.XLOOKUP('Inndata Bygg'!H78, År_etter_ferdigstillelse, f_tid_x_f_tek_d_0_01_kumulativ)))</f>
        <v>0</v>
      </c>
      <c r="Z75" s="336">
        <f>IF(X75=0, 0, SUM(N75:P75)*(1+'Inndata Bygg'!K78)*IF('Inndata Bygg'!H78&gt;50, 0, _xlfn.XLOOKUP('Inndata Bygg'!H78, År_etter_ferdigstillelse, f_tid_x_f_tek_d_0_01_kumulativ)))</f>
        <v>0</v>
      </c>
      <c r="AA75" s="336">
        <f>IF(X75=0, 0, ('Inndata Bygg'!G78+'Inndata Bygg'!O78+'Inndata Bygg'!S78)*(1+'Inndata Bygg'!K78)*Transport_utslipp_til_avfallshånderting_per_kg*IF('Inndata Bygg'!H78&gt;50, 0, _xlfn.XLOOKUP('Inndata Bygg'!H78, År_etter_ferdigstillelse, f_tid_x_f_tek_d_0_01_kumulativ)))</f>
        <v>0</v>
      </c>
      <c r="AB75" s="580" cm="1">
        <f t="array" ref="AB75">CalculateEmissionsFromIncinerationOfWaste('ZERO-B Beregning'!$D$17,'Inndata Bygg'!H78,'Inndata Bygg'!G78,'Inndata Bygg'!X78,'Inndata Bygg'!L78,'Inndata Bygg'!M78,'Inndata Bygg'!B78)</f>
        <v>0</v>
      </c>
      <c r="AC75" s="335">
        <f>IF(('Inndata Bygg'!G78+'Inndata Bygg'!O78+'Inndata Bygg'!S78) = 0, 0,('Inndata Bygg'!G78+'Inndata Bygg'!O78+'Inndata Bygg'!S78)*(('Inndata Bygg'!X78+'Inndata Bygg'!Y78+'Inndata Bygg'!AA78)*Transport_utslipp_til_avfallshånderting_per_kg+('Inndata Bygg'!Z78*'ZERO-B Beregning'!D177/1000)*IF('ZERO-B Beregning'!F178=0,'ZERO-B Beregning'!D178,'ZERO-B Beregning'!F178))*_xlfn.XLOOKUP(51, År_etter_ferdigstillelse, f_tid_x_f_tek_d_0_01))</f>
        <v>0</v>
      </c>
      <c r="AD75" s="577">
        <f>IF(('Inndata Bygg'!G78+'Inndata Bygg'!O78+'Inndata Bygg'!S78) = 0, 0,1.833*('Inndata Bygg'!G78*('Inndata Bygg'!L78*0.5+'Inndata Bygg'!M78*0.8)+'Inndata Bygg'!O78*'Inndata Bygg'!Q78+'Inndata Bygg'!S78*'Inndata Bygg'!U78)*AG75*_xlfn.XLOOKUP(51, År_etter_ferdigstillelse,  f_tid_x_f_tek_d_0_01))</f>
        <v>0</v>
      </c>
      <c r="AE75" s="575" cm="1">
        <f t="array" ref="AE75">CalculateEmissionsReductionFromReuse('ZERO-B Beregning'!$D$17,'Inndata Bygg'!H78,'Inndata Bygg'!G78,'Inndata Bygg'!Z78,'Inndata Bygg'!X78,'Inndata Bygg'!Y78,F75,'Inndata Bygg'!B78)</f>
        <v>0</v>
      </c>
      <c r="AF75" s="333" cm="1">
        <f t="array" ref="AF75">CalculateEmissionReductionFromRecycling('ZERO-B Beregning'!$D$17,'Inndata Bygg'!H78,'Inndata Bygg'!G78,'Inndata Bygg'!AA78,'Inndata Bygg'!X78,'Inndata Bygg'!Y78,F75,'Inndata Bygg'!B78)</f>
        <v>0</v>
      </c>
      <c r="AG75" s="572">
        <f>IF(('Inndata Bygg'!G78+'Inndata Bygg'!O78+'Inndata Bygg'!S78) = 0, 0,'Inndata Bygg'!X78*Faktorer!$Z$58)</f>
        <v>0</v>
      </c>
      <c r="AH75" s="573">
        <f>IF(('Inndata Bygg'!G78+'Inndata Bygg'!O78+'Inndata Bygg'!S78) = 0, 0,'Inndata Bygg'!Z78+('Inndata Bygg'!X78+'Inndata Bygg'!Y78)*(1-Faktorer!$Z$58)*0.5)</f>
        <v>0</v>
      </c>
      <c r="AI75" s="574">
        <f>IF(('Inndata Bygg'!G78+'Inndata Bygg'!O78+'Inndata Bygg'!S78) = 0, 0,'Inndata Bygg'!AA78+('Inndata Bygg'!X78+'Inndata Bygg'!Y78)*(1-Faktorer!$Z$58)*0.5)</f>
        <v>0</v>
      </c>
      <c r="AJ75" s="634"/>
      <c r="AK75" s="90">
        <f t="shared" si="2"/>
        <v>0</v>
      </c>
      <c r="AL75" s="91">
        <f>'Resultater detaljert Bygg'!N75</f>
        <v>0</v>
      </c>
      <c r="AM75" s="91" t="str">
        <f>IF(F75=0,"",('Inndata Bygg'!E78+'Inndata Bygg'!F78)*ROUNDDOWN('Inndata Bygg'!I78,0)*(1+'Inndata Bygg'!K78))</f>
        <v/>
      </c>
    </row>
    <row r="76" spans="2:39">
      <c r="B76" s="339">
        <f>'Inndata Bygg'!B79</f>
        <v>0</v>
      </c>
      <c r="C76" s="340">
        <f>'Inndata Bygg'!C79</f>
        <v>0</v>
      </c>
      <c r="D76" s="341">
        <f>'Inndata Bygg'!D79</f>
        <v>0</v>
      </c>
      <c r="E76" s="421" cm="1">
        <f t="array" ref="E76">SUM(IFERROR(F76:AD76,0))</f>
        <v>0</v>
      </c>
      <c r="F76" s="330">
        <f>'Inndata Bygg'!E79</f>
        <v>0</v>
      </c>
      <c r="G76" s="330">
        <f>IF('Inndata Bygg'!AB79="Ja", -0.8*'Resultater detaljert Bygg'!F76, 0)</f>
        <v>0</v>
      </c>
      <c r="H76" s="330">
        <f>IF('Inndata Bygg'!AC79="Ja", -0.4*'Resultater detaljert Bygg'!$F76, 0)</f>
        <v>0</v>
      </c>
      <c r="I76" s="330">
        <f>IF('Inndata Bygg'!AD79="Ja", -1*'Resultater detaljert Bygg'!$F76, 0)</f>
        <v>0</v>
      </c>
      <c r="J76" s="330">
        <f>'Inndata Bygg'!O79*'Inndata Bygg'!P79</f>
        <v>0</v>
      </c>
      <c r="K76" s="330">
        <f>MAX(-0.75*(SUM('Resultater detaljert Bygg'!F76:J76)),-'Inndata Bygg'!O79*'Inndata Bygg'!Q79)</f>
        <v>0</v>
      </c>
      <c r="L76" s="330">
        <f>'Inndata Bygg'!S79*'Inndata Bygg'!T79</f>
        <v>0</v>
      </c>
      <c r="M76" s="330">
        <f>MAX(-0.75*(SUM('Resultater detaljert Bygg'!F76:I76,L76)),-'Inndata Bygg'!S79*'Inndata Bygg'!U79)</f>
        <v>0</v>
      </c>
      <c r="N76" s="331">
        <f>'Inndata Bygg'!F79</f>
        <v>0</v>
      </c>
      <c r="O76" s="330">
        <f>'Inndata Bygg'!O79*'Inndata Bygg'!R79</f>
        <v>0</v>
      </c>
      <c r="P76" s="332">
        <f>'Inndata Bygg'!S79*'Inndata Bygg'!V79</f>
        <v>0</v>
      </c>
      <c r="Q76" s="493">
        <f>SUM(F76:J76,L76)*'Inndata Bygg'!K79</f>
        <v>0</v>
      </c>
      <c r="R76" s="333">
        <f>(K76+M76)*'Inndata Bygg'!K79</f>
        <v>0</v>
      </c>
      <c r="S76" s="493">
        <f>N76*'Inndata Bygg'!K79</f>
        <v>0</v>
      </c>
      <c r="T76" s="494">
        <f>'Inndata Bygg'!G79*'Inndata Bygg'!K79*Transport_utslipp_til_avfallshånderting_per_kg</f>
        <v>0</v>
      </c>
      <c r="U76" s="330">
        <f>IF('Inndata Bygg'!E79 = 0, 0, 1.833*'Inndata Bygg'!X79*'Inndata Bygg'!K79*('Inndata Bygg'!G79*('Inndata Bygg'!L79*0.5+'Inndata Bygg'!M79*0.8) + (12/44)*('Inndata Bygg'!O79*'Inndata Bygg'!Q79+'Inndata Bygg'!S79*'Inndata Bygg'!U79)))</f>
        <v>0</v>
      </c>
      <c r="V76" s="335" cm="1">
        <f t="array" ref="V76">CalculateBiogenicCarbonUptake('ZERO-B Beregning'!$D$17,'Inndata Bygg'!H79,'Inndata Bygg'!G79,'Inndata Bygg'!L79,F76,AB76,AC76,AD76)</f>
        <v>0</v>
      </c>
      <c r="W76" s="576" cm="1">
        <f t="array" ref="W76">CalculateCementCarbonUptake('ZERO-B Beregning'!$D$17,'Inndata Bygg'!H79,'Inndata Bygg'!G79,'Inndata Bygg'!N79)</f>
        <v>0</v>
      </c>
      <c r="X76" s="331" cm="1">
        <f t="array" ref="X76">IF(SUM(F76:J76,L76)=0, 0, SUM(F76:J76,L76)*(1+'Inndata Bygg'!K79)*IF('Inndata Bygg'!H79&gt;50, 0, _xlfn.XLOOKUP('Inndata Bygg'!H79, År_etter_ferdigstillelse, IF(VALUE(LEFT('Inndata Bygg'!B79, 2))= 49, f_tid_x_f_tek_d_0_037_kumulativ, f_tid_x_f_tek_d_0_01_kumulativ))))</f>
        <v>0</v>
      </c>
      <c r="Y76" s="330">
        <f>IF(X76=0, 0, SUM(K76,M76)*(1+'Inndata Bygg'!K79)*IF('Inndata Bygg'!H79&gt;50, 0, _xlfn.XLOOKUP('Inndata Bygg'!H79, År_etter_ferdigstillelse, f_tid_x_f_tek_d_0_01_kumulativ)))</f>
        <v>0</v>
      </c>
      <c r="Z76" s="336">
        <f>IF(X76=0, 0, SUM(N76:P76)*(1+'Inndata Bygg'!K79)*IF('Inndata Bygg'!H79&gt;50, 0, _xlfn.XLOOKUP('Inndata Bygg'!H79, År_etter_ferdigstillelse, f_tid_x_f_tek_d_0_01_kumulativ)))</f>
        <v>0</v>
      </c>
      <c r="AA76" s="336">
        <f>IF(X76=0, 0, ('Inndata Bygg'!G79+'Inndata Bygg'!O79+'Inndata Bygg'!S79)*(1+'Inndata Bygg'!K79)*Transport_utslipp_til_avfallshånderting_per_kg*IF('Inndata Bygg'!H79&gt;50, 0, _xlfn.XLOOKUP('Inndata Bygg'!H79, År_etter_ferdigstillelse, f_tid_x_f_tek_d_0_01_kumulativ)))</f>
        <v>0</v>
      </c>
      <c r="AB76" s="580" cm="1">
        <f t="array" ref="AB76">CalculateEmissionsFromIncinerationOfWaste('ZERO-B Beregning'!$D$17,'Inndata Bygg'!H79,'Inndata Bygg'!G79,'Inndata Bygg'!X79,'Inndata Bygg'!L79,'Inndata Bygg'!M79,'Inndata Bygg'!B79)</f>
        <v>0</v>
      </c>
      <c r="AC76" s="335">
        <f>IF(('Inndata Bygg'!G79+'Inndata Bygg'!O79+'Inndata Bygg'!S79) = 0, 0,('Inndata Bygg'!G79+'Inndata Bygg'!O79+'Inndata Bygg'!S79)*(('Inndata Bygg'!X79+'Inndata Bygg'!Y79+'Inndata Bygg'!AA79)*Transport_utslipp_til_avfallshånderting_per_kg+('Inndata Bygg'!Z79*'ZERO-B Beregning'!D178/1000)*IF('ZERO-B Beregning'!F179=0,'ZERO-B Beregning'!D179,'ZERO-B Beregning'!F179))*_xlfn.XLOOKUP(51, År_etter_ferdigstillelse, f_tid_x_f_tek_d_0_01))</f>
        <v>0</v>
      </c>
      <c r="AD76" s="577">
        <f>IF(('Inndata Bygg'!G79+'Inndata Bygg'!O79+'Inndata Bygg'!S79) = 0, 0,1.833*('Inndata Bygg'!G79*('Inndata Bygg'!L79*0.5+'Inndata Bygg'!M79*0.8)+'Inndata Bygg'!O79*'Inndata Bygg'!Q79+'Inndata Bygg'!S79*'Inndata Bygg'!U79)*AG76*_xlfn.XLOOKUP(51, År_etter_ferdigstillelse,  f_tid_x_f_tek_d_0_01))</f>
        <v>0</v>
      </c>
      <c r="AE76" s="575" cm="1">
        <f t="array" ref="AE76">CalculateEmissionsReductionFromReuse('ZERO-B Beregning'!$D$17,'Inndata Bygg'!H79,'Inndata Bygg'!G79,'Inndata Bygg'!Z79,'Inndata Bygg'!X79,'Inndata Bygg'!Y79,F76,'Inndata Bygg'!B79)</f>
        <v>0</v>
      </c>
      <c r="AF76" s="333" cm="1">
        <f t="array" ref="AF76">CalculateEmissionReductionFromRecycling('ZERO-B Beregning'!$D$17,'Inndata Bygg'!H79,'Inndata Bygg'!G79,'Inndata Bygg'!AA79,'Inndata Bygg'!X79,'Inndata Bygg'!Y79,F76,'Inndata Bygg'!B79)</f>
        <v>0</v>
      </c>
      <c r="AG76" s="572">
        <f>IF(('Inndata Bygg'!G79+'Inndata Bygg'!O79+'Inndata Bygg'!S79) = 0, 0,'Inndata Bygg'!X79*Faktorer!$Z$58)</f>
        <v>0</v>
      </c>
      <c r="AH76" s="573">
        <f>IF(('Inndata Bygg'!G79+'Inndata Bygg'!O79+'Inndata Bygg'!S79) = 0, 0,'Inndata Bygg'!Z79+('Inndata Bygg'!X79+'Inndata Bygg'!Y79)*(1-Faktorer!$Z$58)*0.5)</f>
        <v>0</v>
      </c>
      <c r="AI76" s="574">
        <f>IF(('Inndata Bygg'!G79+'Inndata Bygg'!O79+'Inndata Bygg'!S79) = 0, 0,'Inndata Bygg'!AA79+('Inndata Bygg'!X79+'Inndata Bygg'!Y79)*(1-Faktorer!$Z$58)*0.5)</f>
        <v>0</v>
      </c>
      <c r="AJ76" s="634"/>
      <c r="AK76" s="90">
        <f t="shared" si="2"/>
        <v>0</v>
      </c>
      <c r="AL76" s="91">
        <f>'Resultater detaljert Bygg'!N76</f>
        <v>0</v>
      </c>
      <c r="AM76" s="91" t="str">
        <f>IF(F76=0,"",('Inndata Bygg'!E79+'Inndata Bygg'!F79)*ROUNDDOWN('Inndata Bygg'!I79,0)*(1+'Inndata Bygg'!K79))</f>
        <v/>
      </c>
    </row>
    <row r="77" spans="2:39">
      <c r="B77" s="339">
        <f>'Inndata Bygg'!B80</f>
        <v>0</v>
      </c>
      <c r="C77" s="340">
        <f>'Inndata Bygg'!C80</f>
        <v>0</v>
      </c>
      <c r="D77" s="341">
        <f>'Inndata Bygg'!D80</f>
        <v>0</v>
      </c>
      <c r="E77" s="421" cm="1">
        <f t="array" ref="E77">SUM(IFERROR(F77:AD77,0))</f>
        <v>0</v>
      </c>
      <c r="F77" s="330">
        <f>'Inndata Bygg'!E80</f>
        <v>0</v>
      </c>
      <c r="G77" s="330">
        <f>IF('Inndata Bygg'!AB80="Ja", -0.8*'Resultater detaljert Bygg'!F77, 0)</f>
        <v>0</v>
      </c>
      <c r="H77" s="330">
        <f>IF('Inndata Bygg'!AC80="Ja", -0.4*'Resultater detaljert Bygg'!$F77, 0)</f>
        <v>0</v>
      </c>
      <c r="I77" s="330">
        <f>IF('Inndata Bygg'!AD80="Ja", -1*'Resultater detaljert Bygg'!$F77, 0)</f>
        <v>0</v>
      </c>
      <c r="J77" s="330">
        <f>'Inndata Bygg'!O80*'Inndata Bygg'!P80</f>
        <v>0</v>
      </c>
      <c r="K77" s="330">
        <f>MAX(-0.75*(SUM('Resultater detaljert Bygg'!F77:J77)),-'Inndata Bygg'!O80*'Inndata Bygg'!Q80)</f>
        <v>0</v>
      </c>
      <c r="L77" s="330">
        <f>'Inndata Bygg'!S80*'Inndata Bygg'!T80</f>
        <v>0</v>
      </c>
      <c r="M77" s="330">
        <f>MAX(-0.75*(SUM('Resultater detaljert Bygg'!F77:I77,L77)),-'Inndata Bygg'!S80*'Inndata Bygg'!U80)</f>
        <v>0</v>
      </c>
      <c r="N77" s="331">
        <f>'Inndata Bygg'!F80</f>
        <v>0</v>
      </c>
      <c r="O77" s="330">
        <f>'Inndata Bygg'!O80*'Inndata Bygg'!R80</f>
        <v>0</v>
      </c>
      <c r="P77" s="332">
        <f>'Inndata Bygg'!S80*'Inndata Bygg'!V80</f>
        <v>0</v>
      </c>
      <c r="Q77" s="493">
        <f>SUM(F77:J77,L77)*'Inndata Bygg'!K80</f>
        <v>0</v>
      </c>
      <c r="R77" s="333">
        <f>(K77+M77)*'Inndata Bygg'!K80</f>
        <v>0</v>
      </c>
      <c r="S77" s="493">
        <f>N77*'Inndata Bygg'!K80</f>
        <v>0</v>
      </c>
      <c r="T77" s="494">
        <f>'Inndata Bygg'!G80*'Inndata Bygg'!K80*Transport_utslipp_til_avfallshånderting_per_kg</f>
        <v>0</v>
      </c>
      <c r="U77" s="330">
        <f>IF('Inndata Bygg'!E80 = 0, 0, 1.833*'Inndata Bygg'!X80*'Inndata Bygg'!K80*('Inndata Bygg'!G80*('Inndata Bygg'!L80*0.5+'Inndata Bygg'!M80*0.8) + (12/44)*('Inndata Bygg'!O80*'Inndata Bygg'!Q80+'Inndata Bygg'!S80*'Inndata Bygg'!U80)))</f>
        <v>0</v>
      </c>
      <c r="V77" s="335" cm="1">
        <f t="array" ref="V77">CalculateBiogenicCarbonUptake('ZERO-B Beregning'!$D$17,'Inndata Bygg'!H80,'Inndata Bygg'!G80,'Inndata Bygg'!L80,F77,AB77,AC77,AD77)</f>
        <v>0</v>
      </c>
      <c r="W77" s="576" cm="1">
        <f t="array" ref="W77">CalculateCementCarbonUptake('ZERO-B Beregning'!$D$17,'Inndata Bygg'!H80,'Inndata Bygg'!G80,'Inndata Bygg'!N80)</f>
        <v>0</v>
      </c>
      <c r="X77" s="331" cm="1">
        <f t="array" ref="X77">IF(SUM(F77:J77,L77)=0, 0, SUM(F77:J77,L77)*(1+'Inndata Bygg'!K80)*IF('Inndata Bygg'!H80&gt;50, 0, _xlfn.XLOOKUP('Inndata Bygg'!H80, År_etter_ferdigstillelse, IF(VALUE(LEFT('Inndata Bygg'!B80, 2))= 49, f_tid_x_f_tek_d_0_037_kumulativ, f_tid_x_f_tek_d_0_01_kumulativ))))</f>
        <v>0</v>
      </c>
      <c r="Y77" s="330">
        <f>IF(X77=0, 0, SUM(K77,M77)*(1+'Inndata Bygg'!K80)*IF('Inndata Bygg'!H80&gt;50, 0, _xlfn.XLOOKUP('Inndata Bygg'!H80, År_etter_ferdigstillelse, f_tid_x_f_tek_d_0_01_kumulativ)))</f>
        <v>0</v>
      </c>
      <c r="Z77" s="336">
        <f>IF(X77=0, 0, SUM(N77:P77)*(1+'Inndata Bygg'!K80)*IF('Inndata Bygg'!H80&gt;50, 0, _xlfn.XLOOKUP('Inndata Bygg'!H80, År_etter_ferdigstillelse, f_tid_x_f_tek_d_0_01_kumulativ)))</f>
        <v>0</v>
      </c>
      <c r="AA77" s="336">
        <f>IF(X77=0, 0, ('Inndata Bygg'!G80+'Inndata Bygg'!O80+'Inndata Bygg'!S80)*(1+'Inndata Bygg'!K80)*Transport_utslipp_til_avfallshånderting_per_kg*IF('Inndata Bygg'!H80&gt;50, 0, _xlfn.XLOOKUP('Inndata Bygg'!H80, År_etter_ferdigstillelse, f_tid_x_f_tek_d_0_01_kumulativ)))</f>
        <v>0</v>
      </c>
      <c r="AB77" s="580" cm="1">
        <f t="array" ref="AB77">CalculateEmissionsFromIncinerationOfWaste('ZERO-B Beregning'!$D$17,'Inndata Bygg'!H80,'Inndata Bygg'!G80,'Inndata Bygg'!X80,'Inndata Bygg'!L80,'Inndata Bygg'!M80,'Inndata Bygg'!B80)</f>
        <v>0</v>
      </c>
      <c r="AC77" s="335">
        <f>IF(('Inndata Bygg'!G80+'Inndata Bygg'!O80+'Inndata Bygg'!S80) = 0, 0,('Inndata Bygg'!G80+'Inndata Bygg'!O80+'Inndata Bygg'!S80)*(('Inndata Bygg'!X80+'Inndata Bygg'!Y80+'Inndata Bygg'!AA80)*Transport_utslipp_til_avfallshånderting_per_kg+('Inndata Bygg'!Z80*'ZERO-B Beregning'!D179/1000)*IF('ZERO-B Beregning'!F180=0,'ZERO-B Beregning'!D180,'ZERO-B Beregning'!F180))*_xlfn.XLOOKUP(51, År_etter_ferdigstillelse, f_tid_x_f_tek_d_0_01))</f>
        <v>0</v>
      </c>
      <c r="AD77" s="577">
        <f>IF(('Inndata Bygg'!G80+'Inndata Bygg'!O80+'Inndata Bygg'!S80) = 0, 0,1.833*('Inndata Bygg'!G80*('Inndata Bygg'!L80*0.5+'Inndata Bygg'!M80*0.8)+'Inndata Bygg'!O80*'Inndata Bygg'!Q80+'Inndata Bygg'!S80*'Inndata Bygg'!U80)*AG77*_xlfn.XLOOKUP(51, År_etter_ferdigstillelse,  f_tid_x_f_tek_d_0_01))</f>
        <v>0</v>
      </c>
      <c r="AE77" s="575" cm="1">
        <f t="array" ref="AE77">CalculateEmissionsReductionFromReuse('ZERO-B Beregning'!$D$17,'Inndata Bygg'!H80,'Inndata Bygg'!G80,'Inndata Bygg'!Z80,'Inndata Bygg'!X80,'Inndata Bygg'!Y80,F77,'Inndata Bygg'!B80)</f>
        <v>0</v>
      </c>
      <c r="AF77" s="333" cm="1">
        <f t="array" ref="AF77">CalculateEmissionReductionFromRecycling('ZERO-B Beregning'!$D$17,'Inndata Bygg'!H80,'Inndata Bygg'!G80,'Inndata Bygg'!AA80,'Inndata Bygg'!X80,'Inndata Bygg'!Y80,F77,'Inndata Bygg'!B80)</f>
        <v>0</v>
      </c>
      <c r="AG77" s="572">
        <f>IF(('Inndata Bygg'!G80+'Inndata Bygg'!O80+'Inndata Bygg'!S80) = 0, 0,'Inndata Bygg'!X80*Faktorer!$Z$58)</f>
        <v>0</v>
      </c>
      <c r="AH77" s="573">
        <f>IF(('Inndata Bygg'!G80+'Inndata Bygg'!O80+'Inndata Bygg'!S80) = 0, 0,'Inndata Bygg'!Z80+('Inndata Bygg'!X80+'Inndata Bygg'!Y80)*(1-Faktorer!$Z$58)*0.5)</f>
        <v>0</v>
      </c>
      <c r="AI77" s="574">
        <f>IF(('Inndata Bygg'!G80+'Inndata Bygg'!O80+'Inndata Bygg'!S80) = 0, 0,'Inndata Bygg'!AA80+('Inndata Bygg'!X80+'Inndata Bygg'!Y80)*(1-Faktorer!$Z$58)*0.5)</f>
        <v>0</v>
      </c>
      <c r="AJ77" s="634"/>
      <c r="AK77" s="90">
        <f t="shared" si="2"/>
        <v>0</v>
      </c>
      <c r="AL77" s="91">
        <f>'Resultater detaljert Bygg'!N77</f>
        <v>0</v>
      </c>
      <c r="AM77" s="91" t="str">
        <f>IF(F77=0,"",('Inndata Bygg'!E80+'Inndata Bygg'!F80)*ROUNDDOWN('Inndata Bygg'!I80,0)*(1+'Inndata Bygg'!K80))</f>
        <v/>
      </c>
    </row>
    <row r="78" spans="2:39">
      <c r="B78" s="339">
        <f>'Inndata Bygg'!B81</f>
        <v>0</v>
      </c>
      <c r="C78" s="340">
        <f>'Inndata Bygg'!C81</f>
        <v>0</v>
      </c>
      <c r="D78" s="341">
        <f>'Inndata Bygg'!D81</f>
        <v>0</v>
      </c>
      <c r="E78" s="421" cm="1">
        <f t="array" ref="E78">SUM(IFERROR(F78:AD78,0))</f>
        <v>0</v>
      </c>
      <c r="F78" s="330">
        <f>'Inndata Bygg'!E81</f>
        <v>0</v>
      </c>
      <c r="G78" s="330">
        <f>IF('Inndata Bygg'!AB81="Ja", -0.8*'Resultater detaljert Bygg'!F78, 0)</f>
        <v>0</v>
      </c>
      <c r="H78" s="330">
        <f>IF('Inndata Bygg'!AC81="Ja", -0.4*'Resultater detaljert Bygg'!$F78, 0)</f>
        <v>0</v>
      </c>
      <c r="I78" s="330">
        <f>IF('Inndata Bygg'!AD81="Ja", -1*'Resultater detaljert Bygg'!$F78, 0)</f>
        <v>0</v>
      </c>
      <c r="J78" s="330">
        <f>'Inndata Bygg'!O81*'Inndata Bygg'!P81</f>
        <v>0</v>
      </c>
      <c r="K78" s="330">
        <f>MAX(-0.75*(SUM('Resultater detaljert Bygg'!F78:J78)),-'Inndata Bygg'!O81*'Inndata Bygg'!Q81)</f>
        <v>0</v>
      </c>
      <c r="L78" s="330">
        <f>'Inndata Bygg'!S81*'Inndata Bygg'!T81</f>
        <v>0</v>
      </c>
      <c r="M78" s="330">
        <f>MAX(-0.75*(SUM('Resultater detaljert Bygg'!F78:I78,L78)),-'Inndata Bygg'!S81*'Inndata Bygg'!U81)</f>
        <v>0</v>
      </c>
      <c r="N78" s="331">
        <f>'Inndata Bygg'!F81</f>
        <v>0</v>
      </c>
      <c r="O78" s="330">
        <f>'Inndata Bygg'!O81*'Inndata Bygg'!R81</f>
        <v>0</v>
      </c>
      <c r="P78" s="332">
        <f>'Inndata Bygg'!S81*'Inndata Bygg'!V81</f>
        <v>0</v>
      </c>
      <c r="Q78" s="493">
        <f>SUM(F78:J78,L78)*'Inndata Bygg'!K81</f>
        <v>0</v>
      </c>
      <c r="R78" s="333">
        <f>(K78+M78)*'Inndata Bygg'!K81</f>
        <v>0</v>
      </c>
      <c r="S78" s="493">
        <f>N78*'Inndata Bygg'!K81</f>
        <v>0</v>
      </c>
      <c r="T78" s="494">
        <f>'Inndata Bygg'!G81*'Inndata Bygg'!K81*Transport_utslipp_til_avfallshånderting_per_kg</f>
        <v>0</v>
      </c>
      <c r="U78" s="330">
        <f>IF('Inndata Bygg'!E81 = 0, 0, 1.833*'Inndata Bygg'!X81*'Inndata Bygg'!K81*('Inndata Bygg'!G81*('Inndata Bygg'!L81*0.5+'Inndata Bygg'!M81*0.8) + (12/44)*('Inndata Bygg'!O81*'Inndata Bygg'!Q81+'Inndata Bygg'!S81*'Inndata Bygg'!U81)))</f>
        <v>0</v>
      </c>
      <c r="V78" s="335" cm="1">
        <f t="array" ref="V78">CalculateBiogenicCarbonUptake('ZERO-B Beregning'!$D$17,'Inndata Bygg'!H81,'Inndata Bygg'!G81,'Inndata Bygg'!L81,F78,AB78,AC78,AD78)</f>
        <v>0</v>
      </c>
      <c r="W78" s="576" cm="1">
        <f t="array" ref="W78">CalculateCementCarbonUptake('ZERO-B Beregning'!$D$17,'Inndata Bygg'!H81,'Inndata Bygg'!G81,'Inndata Bygg'!N81)</f>
        <v>0</v>
      </c>
      <c r="X78" s="331" cm="1">
        <f t="array" ref="X78">IF(SUM(F78:J78,L78)=0, 0, SUM(F78:J78,L78)*(1+'Inndata Bygg'!K81)*IF('Inndata Bygg'!H81&gt;50, 0, _xlfn.XLOOKUP('Inndata Bygg'!H81, År_etter_ferdigstillelse, IF(VALUE(LEFT('Inndata Bygg'!B81, 2))= 49, f_tid_x_f_tek_d_0_037_kumulativ, f_tid_x_f_tek_d_0_01_kumulativ))))</f>
        <v>0</v>
      </c>
      <c r="Y78" s="330">
        <f>IF(X78=0, 0, SUM(K78,M78)*(1+'Inndata Bygg'!K81)*IF('Inndata Bygg'!H81&gt;50, 0, _xlfn.XLOOKUP('Inndata Bygg'!H81, År_etter_ferdigstillelse, f_tid_x_f_tek_d_0_01_kumulativ)))</f>
        <v>0</v>
      </c>
      <c r="Z78" s="336">
        <f>IF(X78=0, 0, SUM(N78:P78)*(1+'Inndata Bygg'!K81)*IF('Inndata Bygg'!H81&gt;50, 0, _xlfn.XLOOKUP('Inndata Bygg'!H81, År_etter_ferdigstillelse, f_tid_x_f_tek_d_0_01_kumulativ)))</f>
        <v>0</v>
      </c>
      <c r="AA78" s="336">
        <f>IF(X78=0, 0, ('Inndata Bygg'!G81+'Inndata Bygg'!O81+'Inndata Bygg'!S81)*(1+'Inndata Bygg'!K81)*Transport_utslipp_til_avfallshånderting_per_kg*IF('Inndata Bygg'!H81&gt;50, 0, _xlfn.XLOOKUP('Inndata Bygg'!H81, År_etter_ferdigstillelse, f_tid_x_f_tek_d_0_01_kumulativ)))</f>
        <v>0</v>
      </c>
      <c r="AB78" s="580" cm="1">
        <f t="array" ref="AB78">CalculateEmissionsFromIncinerationOfWaste('ZERO-B Beregning'!$D$17,'Inndata Bygg'!H81,'Inndata Bygg'!G81,'Inndata Bygg'!X81,'Inndata Bygg'!L81,'Inndata Bygg'!M81,'Inndata Bygg'!B81)</f>
        <v>0</v>
      </c>
      <c r="AC78" s="335">
        <f>IF(('Inndata Bygg'!G81+'Inndata Bygg'!O81+'Inndata Bygg'!S81) = 0, 0,('Inndata Bygg'!G81+'Inndata Bygg'!O81+'Inndata Bygg'!S81)*(('Inndata Bygg'!X81+'Inndata Bygg'!Y81+'Inndata Bygg'!AA81)*Transport_utslipp_til_avfallshånderting_per_kg+('Inndata Bygg'!Z81*'ZERO-B Beregning'!D180/1000)*IF('ZERO-B Beregning'!F181=0,'ZERO-B Beregning'!D181,'ZERO-B Beregning'!F181))*_xlfn.XLOOKUP(51, År_etter_ferdigstillelse, f_tid_x_f_tek_d_0_01))</f>
        <v>0</v>
      </c>
      <c r="AD78" s="577">
        <f>IF(('Inndata Bygg'!G81+'Inndata Bygg'!O81+'Inndata Bygg'!S81) = 0, 0,1.833*('Inndata Bygg'!G81*('Inndata Bygg'!L81*0.5+'Inndata Bygg'!M81*0.8)+'Inndata Bygg'!O81*'Inndata Bygg'!Q81+'Inndata Bygg'!S81*'Inndata Bygg'!U81)*AG78*_xlfn.XLOOKUP(51, År_etter_ferdigstillelse,  f_tid_x_f_tek_d_0_01))</f>
        <v>0</v>
      </c>
      <c r="AE78" s="575" cm="1">
        <f t="array" ref="AE78">CalculateEmissionsReductionFromReuse('ZERO-B Beregning'!$D$17,'Inndata Bygg'!H81,'Inndata Bygg'!G81,'Inndata Bygg'!Z81,'Inndata Bygg'!X81,'Inndata Bygg'!Y81,F78,'Inndata Bygg'!B81)</f>
        <v>0</v>
      </c>
      <c r="AF78" s="333" cm="1">
        <f t="array" ref="AF78">CalculateEmissionReductionFromRecycling('ZERO-B Beregning'!$D$17,'Inndata Bygg'!H81,'Inndata Bygg'!G81,'Inndata Bygg'!AA81,'Inndata Bygg'!X81,'Inndata Bygg'!Y81,F78,'Inndata Bygg'!B81)</f>
        <v>0</v>
      </c>
      <c r="AG78" s="572">
        <f>IF(('Inndata Bygg'!G81+'Inndata Bygg'!O81+'Inndata Bygg'!S81) = 0, 0,'Inndata Bygg'!X81*Faktorer!$Z$58)</f>
        <v>0</v>
      </c>
      <c r="AH78" s="573">
        <f>IF(('Inndata Bygg'!G81+'Inndata Bygg'!O81+'Inndata Bygg'!S81) = 0, 0,'Inndata Bygg'!Z81+('Inndata Bygg'!X81+'Inndata Bygg'!Y81)*(1-Faktorer!$Z$58)*0.5)</f>
        <v>0</v>
      </c>
      <c r="AI78" s="574">
        <f>IF(('Inndata Bygg'!G81+'Inndata Bygg'!O81+'Inndata Bygg'!S81) = 0, 0,'Inndata Bygg'!AA81+('Inndata Bygg'!X81+'Inndata Bygg'!Y81)*(1-Faktorer!$Z$58)*0.5)</f>
        <v>0</v>
      </c>
      <c r="AJ78" s="634"/>
      <c r="AK78" s="90">
        <f t="shared" ref="AK78:AK141" si="3">F78</f>
        <v>0</v>
      </c>
      <c r="AL78" s="91">
        <f>'Resultater detaljert Bygg'!N78</f>
        <v>0</v>
      </c>
      <c r="AM78" s="91" t="str">
        <f>IF(F78=0,"",('Inndata Bygg'!E81+'Inndata Bygg'!F81)*ROUNDDOWN('Inndata Bygg'!I81,0)*(1+'Inndata Bygg'!K81))</f>
        <v/>
      </c>
    </row>
    <row r="79" spans="2:39">
      <c r="B79" s="339">
        <f>'Inndata Bygg'!B82</f>
        <v>0</v>
      </c>
      <c r="C79" s="340">
        <f>'Inndata Bygg'!C82</f>
        <v>0</v>
      </c>
      <c r="D79" s="341">
        <f>'Inndata Bygg'!D82</f>
        <v>0</v>
      </c>
      <c r="E79" s="421" cm="1">
        <f t="array" ref="E79">SUM(IFERROR(F79:AD79,0))</f>
        <v>0</v>
      </c>
      <c r="F79" s="330">
        <f>'Inndata Bygg'!E82</f>
        <v>0</v>
      </c>
      <c r="G79" s="330">
        <f>IF('Inndata Bygg'!AB82="Ja", -0.8*'Resultater detaljert Bygg'!F79, 0)</f>
        <v>0</v>
      </c>
      <c r="H79" s="330">
        <f>IF('Inndata Bygg'!AC82="Ja", -0.4*'Resultater detaljert Bygg'!$F79, 0)</f>
        <v>0</v>
      </c>
      <c r="I79" s="330">
        <f>IF('Inndata Bygg'!AD82="Ja", -1*'Resultater detaljert Bygg'!$F79, 0)</f>
        <v>0</v>
      </c>
      <c r="J79" s="330">
        <f>'Inndata Bygg'!O82*'Inndata Bygg'!P82</f>
        <v>0</v>
      </c>
      <c r="K79" s="330">
        <f>MAX(-0.75*(SUM('Resultater detaljert Bygg'!F79:J79)),-'Inndata Bygg'!O82*'Inndata Bygg'!Q82)</f>
        <v>0</v>
      </c>
      <c r="L79" s="330">
        <f>'Inndata Bygg'!S82*'Inndata Bygg'!T82</f>
        <v>0</v>
      </c>
      <c r="M79" s="330">
        <f>MAX(-0.75*(SUM('Resultater detaljert Bygg'!F79:I79,L79)),-'Inndata Bygg'!S82*'Inndata Bygg'!U82)</f>
        <v>0</v>
      </c>
      <c r="N79" s="331">
        <f>'Inndata Bygg'!F82</f>
        <v>0</v>
      </c>
      <c r="O79" s="330">
        <f>'Inndata Bygg'!O82*'Inndata Bygg'!R82</f>
        <v>0</v>
      </c>
      <c r="P79" s="332">
        <f>'Inndata Bygg'!S82*'Inndata Bygg'!V82</f>
        <v>0</v>
      </c>
      <c r="Q79" s="493">
        <f>SUM(F79:J79,L79)*'Inndata Bygg'!K82</f>
        <v>0</v>
      </c>
      <c r="R79" s="333">
        <f>(K79+M79)*'Inndata Bygg'!K82</f>
        <v>0</v>
      </c>
      <c r="S79" s="493">
        <f>N79*'Inndata Bygg'!K82</f>
        <v>0</v>
      </c>
      <c r="T79" s="494">
        <f>'Inndata Bygg'!G82*'Inndata Bygg'!K82*Transport_utslipp_til_avfallshånderting_per_kg</f>
        <v>0</v>
      </c>
      <c r="U79" s="330">
        <f>IF('Inndata Bygg'!E82 = 0, 0, 1.833*'Inndata Bygg'!X82*'Inndata Bygg'!K82*('Inndata Bygg'!G82*('Inndata Bygg'!L82*0.5+'Inndata Bygg'!M82*0.8) + (12/44)*('Inndata Bygg'!O82*'Inndata Bygg'!Q82+'Inndata Bygg'!S82*'Inndata Bygg'!U82)))</f>
        <v>0</v>
      </c>
      <c r="V79" s="335" cm="1">
        <f t="array" ref="V79">CalculateBiogenicCarbonUptake('ZERO-B Beregning'!$D$17,'Inndata Bygg'!H82,'Inndata Bygg'!G82,'Inndata Bygg'!L82,F79,AB79,AC79,AD79)</f>
        <v>0</v>
      </c>
      <c r="W79" s="576" cm="1">
        <f t="array" ref="W79">CalculateCementCarbonUptake('ZERO-B Beregning'!$D$17,'Inndata Bygg'!H82,'Inndata Bygg'!G82,'Inndata Bygg'!N82)</f>
        <v>0</v>
      </c>
      <c r="X79" s="331" cm="1">
        <f t="array" ref="X79">IF(SUM(F79:J79,L79)=0, 0, SUM(F79:J79,L79)*(1+'Inndata Bygg'!K82)*IF('Inndata Bygg'!H82&gt;50, 0, _xlfn.XLOOKUP('Inndata Bygg'!H82, År_etter_ferdigstillelse, IF(VALUE(LEFT('Inndata Bygg'!B82, 2))= 49, f_tid_x_f_tek_d_0_037_kumulativ, f_tid_x_f_tek_d_0_01_kumulativ))))</f>
        <v>0</v>
      </c>
      <c r="Y79" s="330">
        <f>IF(X79=0, 0, SUM(K79,M79)*(1+'Inndata Bygg'!K82)*IF('Inndata Bygg'!H82&gt;50, 0, _xlfn.XLOOKUP('Inndata Bygg'!H82, År_etter_ferdigstillelse, f_tid_x_f_tek_d_0_01_kumulativ)))</f>
        <v>0</v>
      </c>
      <c r="Z79" s="336">
        <f>IF(X79=0, 0, SUM(N79:P79)*(1+'Inndata Bygg'!K82)*IF('Inndata Bygg'!H82&gt;50, 0, _xlfn.XLOOKUP('Inndata Bygg'!H82, År_etter_ferdigstillelse, f_tid_x_f_tek_d_0_01_kumulativ)))</f>
        <v>0</v>
      </c>
      <c r="AA79" s="336">
        <f>IF(X79=0, 0, ('Inndata Bygg'!G82+'Inndata Bygg'!O82+'Inndata Bygg'!S82)*(1+'Inndata Bygg'!K82)*Transport_utslipp_til_avfallshånderting_per_kg*IF('Inndata Bygg'!H82&gt;50, 0, _xlfn.XLOOKUP('Inndata Bygg'!H82, År_etter_ferdigstillelse, f_tid_x_f_tek_d_0_01_kumulativ)))</f>
        <v>0</v>
      </c>
      <c r="AB79" s="580" cm="1">
        <f t="array" ref="AB79">CalculateEmissionsFromIncinerationOfWaste('ZERO-B Beregning'!$D$17,'Inndata Bygg'!H82,'Inndata Bygg'!G82,'Inndata Bygg'!X82,'Inndata Bygg'!L82,'Inndata Bygg'!M82,'Inndata Bygg'!B82)</f>
        <v>0</v>
      </c>
      <c r="AC79" s="335">
        <f>IF(('Inndata Bygg'!G82+'Inndata Bygg'!O82+'Inndata Bygg'!S82) = 0, 0,('Inndata Bygg'!G82+'Inndata Bygg'!O82+'Inndata Bygg'!S82)*(('Inndata Bygg'!X82+'Inndata Bygg'!Y82+'Inndata Bygg'!AA82)*Transport_utslipp_til_avfallshånderting_per_kg+('Inndata Bygg'!Z82*'ZERO-B Beregning'!D181/1000)*IF('ZERO-B Beregning'!F182=0,'ZERO-B Beregning'!D182,'ZERO-B Beregning'!F182))*_xlfn.XLOOKUP(51, År_etter_ferdigstillelse, f_tid_x_f_tek_d_0_01))</f>
        <v>0</v>
      </c>
      <c r="AD79" s="577">
        <f>IF(('Inndata Bygg'!G82+'Inndata Bygg'!O82+'Inndata Bygg'!S82) = 0, 0,1.833*('Inndata Bygg'!G82*('Inndata Bygg'!L82*0.5+'Inndata Bygg'!M82*0.8)+'Inndata Bygg'!O82*'Inndata Bygg'!Q82+'Inndata Bygg'!S82*'Inndata Bygg'!U82)*AG79*_xlfn.XLOOKUP(51, År_etter_ferdigstillelse,  f_tid_x_f_tek_d_0_01))</f>
        <v>0</v>
      </c>
      <c r="AE79" s="575" cm="1">
        <f t="array" ref="AE79">CalculateEmissionsReductionFromReuse('ZERO-B Beregning'!$D$17,'Inndata Bygg'!H82,'Inndata Bygg'!G82,'Inndata Bygg'!Z82,'Inndata Bygg'!X82,'Inndata Bygg'!Y82,F79,'Inndata Bygg'!B82)</f>
        <v>0</v>
      </c>
      <c r="AF79" s="333" cm="1">
        <f t="array" ref="AF79">CalculateEmissionReductionFromRecycling('ZERO-B Beregning'!$D$17,'Inndata Bygg'!H82,'Inndata Bygg'!G82,'Inndata Bygg'!AA82,'Inndata Bygg'!X82,'Inndata Bygg'!Y82,F79,'Inndata Bygg'!B82)</f>
        <v>0</v>
      </c>
      <c r="AG79" s="572">
        <f>IF(('Inndata Bygg'!G82+'Inndata Bygg'!O82+'Inndata Bygg'!S82) = 0, 0,'Inndata Bygg'!X82*Faktorer!$Z$58)</f>
        <v>0</v>
      </c>
      <c r="AH79" s="573">
        <f>IF(('Inndata Bygg'!G82+'Inndata Bygg'!O82+'Inndata Bygg'!S82) = 0, 0,'Inndata Bygg'!Z82+('Inndata Bygg'!X82+'Inndata Bygg'!Y82)*(1-Faktorer!$Z$58)*0.5)</f>
        <v>0</v>
      </c>
      <c r="AI79" s="574">
        <f>IF(('Inndata Bygg'!G82+'Inndata Bygg'!O82+'Inndata Bygg'!S82) = 0, 0,'Inndata Bygg'!AA82+('Inndata Bygg'!X82+'Inndata Bygg'!Y82)*(1-Faktorer!$Z$58)*0.5)</f>
        <v>0</v>
      </c>
      <c r="AJ79" s="634"/>
      <c r="AK79" s="90">
        <f t="shared" si="3"/>
        <v>0</v>
      </c>
      <c r="AL79" s="91">
        <f>'Resultater detaljert Bygg'!N79</f>
        <v>0</v>
      </c>
      <c r="AM79" s="91" t="str">
        <f>IF(F79=0,"",('Inndata Bygg'!E82+'Inndata Bygg'!F82)*ROUNDDOWN('Inndata Bygg'!I82,0)*(1+'Inndata Bygg'!K82))</f>
        <v/>
      </c>
    </row>
    <row r="80" spans="2:39">
      <c r="B80" s="339">
        <f>'Inndata Bygg'!B83</f>
        <v>0</v>
      </c>
      <c r="C80" s="340">
        <f>'Inndata Bygg'!C83</f>
        <v>0</v>
      </c>
      <c r="D80" s="341">
        <f>'Inndata Bygg'!D83</f>
        <v>0</v>
      </c>
      <c r="E80" s="421" cm="1">
        <f t="array" ref="E80">SUM(IFERROR(F80:AD80,0))</f>
        <v>0</v>
      </c>
      <c r="F80" s="330">
        <f>'Inndata Bygg'!E83</f>
        <v>0</v>
      </c>
      <c r="G80" s="330">
        <f>IF('Inndata Bygg'!AB83="Ja", -0.8*'Resultater detaljert Bygg'!F80, 0)</f>
        <v>0</v>
      </c>
      <c r="H80" s="330">
        <f>IF('Inndata Bygg'!AC83="Ja", -0.4*'Resultater detaljert Bygg'!$F80, 0)</f>
        <v>0</v>
      </c>
      <c r="I80" s="330">
        <f>IF('Inndata Bygg'!AD83="Ja", -1*'Resultater detaljert Bygg'!$F80, 0)</f>
        <v>0</v>
      </c>
      <c r="J80" s="330">
        <f>'Inndata Bygg'!O83*'Inndata Bygg'!P83</f>
        <v>0</v>
      </c>
      <c r="K80" s="330">
        <f>MAX(-0.75*(SUM('Resultater detaljert Bygg'!F80:J80)),-'Inndata Bygg'!O83*'Inndata Bygg'!Q83)</f>
        <v>0</v>
      </c>
      <c r="L80" s="330">
        <f>'Inndata Bygg'!S83*'Inndata Bygg'!T83</f>
        <v>0</v>
      </c>
      <c r="M80" s="330">
        <f>MAX(-0.75*(SUM('Resultater detaljert Bygg'!F80:I80,L80)),-'Inndata Bygg'!S83*'Inndata Bygg'!U83)</f>
        <v>0</v>
      </c>
      <c r="N80" s="331">
        <f>'Inndata Bygg'!F83</f>
        <v>0</v>
      </c>
      <c r="O80" s="330">
        <f>'Inndata Bygg'!O83*'Inndata Bygg'!R83</f>
        <v>0</v>
      </c>
      <c r="P80" s="332">
        <f>'Inndata Bygg'!S83*'Inndata Bygg'!V83</f>
        <v>0</v>
      </c>
      <c r="Q80" s="493">
        <f>SUM(F80:J80,L80)*'Inndata Bygg'!K83</f>
        <v>0</v>
      </c>
      <c r="R80" s="333">
        <f>(K80+M80)*'Inndata Bygg'!K83</f>
        <v>0</v>
      </c>
      <c r="S80" s="493">
        <f>N80*'Inndata Bygg'!K83</f>
        <v>0</v>
      </c>
      <c r="T80" s="494">
        <f>'Inndata Bygg'!G83*'Inndata Bygg'!K83*Transport_utslipp_til_avfallshånderting_per_kg</f>
        <v>0</v>
      </c>
      <c r="U80" s="330">
        <f>IF('Inndata Bygg'!E83 = 0, 0, 1.833*'Inndata Bygg'!X83*'Inndata Bygg'!K83*('Inndata Bygg'!G83*('Inndata Bygg'!L83*0.5+'Inndata Bygg'!M83*0.8) + (12/44)*('Inndata Bygg'!O83*'Inndata Bygg'!Q83+'Inndata Bygg'!S83*'Inndata Bygg'!U83)))</f>
        <v>0</v>
      </c>
      <c r="V80" s="335" cm="1">
        <f t="array" ref="V80">CalculateBiogenicCarbonUptake('ZERO-B Beregning'!$D$17,'Inndata Bygg'!H83,'Inndata Bygg'!G83,'Inndata Bygg'!L83,F80,AB80,AC80,AD80)</f>
        <v>0</v>
      </c>
      <c r="W80" s="576" cm="1">
        <f t="array" ref="W80">CalculateCementCarbonUptake('ZERO-B Beregning'!$D$17,'Inndata Bygg'!H83,'Inndata Bygg'!G83,'Inndata Bygg'!N83)</f>
        <v>0</v>
      </c>
      <c r="X80" s="331" cm="1">
        <f t="array" ref="X80">IF(SUM(F80:J80,L80)=0, 0, SUM(F80:J80,L80)*(1+'Inndata Bygg'!K83)*IF('Inndata Bygg'!H83&gt;50, 0, _xlfn.XLOOKUP('Inndata Bygg'!H83, År_etter_ferdigstillelse, IF(VALUE(LEFT('Inndata Bygg'!B83, 2))= 49, f_tid_x_f_tek_d_0_037_kumulativ, f_tid_x_f_tek_d_0_01_kumulativ))))</f>
        <v>0</v>
      </c>
      <c r="Y80" s="330">
        <f>IF(X80=0, 0, SUM(K80,M80)*(1+'Inndata Bygg'!K83)*IF('Inndata Bygg'!H83&gt;50, 0, _xlfn.XLOOKUP('Inndata Bygg'!H83, År_etter_ferdigstillelse, f_tid_x_f_tek_d_0_01_kumulativ)))</f>
        <v>0</v>
      </c>
      <c r="Z80" s="336">
        <f>IF(X80=0, 0, SUM(N80:P80)*(1+'Inndata Bygg'!K83)*IF('Inndata Bygg'!H83&gt;50, 0, _xlfn.XLOOKUP('Inndata Bygg'!H83, År_etter_ferdigstillelse, f_tid_x_f_tek_d_0_01_kumulativ)))</f>
        <v>0</v>
      </c>
      <c r="AA80" s="336">
        <f>IF(X80=0, 0, ('Inndata Bygg'!G83+'Inndata Bygg'!O83+'Inndata Bygg'!S83)*(1+'Inndata Bygg'!K83)*Transport_utslipp_til_avfallshånderting_per_kg*IF('Inndata Bygg'!H83&gt;50, 0, _xlfn.XLOOKUP('Inndata Bygg'!H83, År_etter_ferdigstillelse, f_tid_x_f_tek_d_0_01_kumulativ)))</f>
        <v>0</v>
      </c>
      <c r="AB80" s="580" cm="1">
        <f t="array" ref="AB80">CalculateEmissionsFromIncinerationOfWaste('ZERO-B Beregning'!$D$17,'Inndata Bygg'!H83,'Inndata Bygg'!G83,'Inndata Bygg'!X83,'Inndata Bygg'!L83,'Inndata Bygg'!M83,'Inndata Bygg'!B83)</f>
        <v>0</v>
      </c>
      <c r="AC80" s="335">
        <f>IF(('Inndata Bygg'!G83+'Inndata Bygg'!O83+'Inndata Bygg'!S83) = 0, 0,('Inndata Bygg'!G83+'Inndata Bygg'!O83+'Inndata Bygg'!S83)*(('Inndata Bygg'!X83+'Inndata Bygg'!Y83+'Inndata Bygg'!AA83)*Transport_utslipp_til_avfallshånderting_per_kg+('Inndata Bygg'!Z83*'ZERO-B Beregning'!D182/1000)*IF('ZERO-B Beregning'!F183=0,'ZERO-B Beregning'!D183,'ZERO-B Beregning'!F183))*_xlfn.XLOOKUP(51, År_etter_ferdigstillelse, f_tid_x_f_tek_d_0_01))</f>
        <v>0</v>
      </c>
      <c r="AD80" s="577">
        <f>IF(('Inndata Bygg'!G83+'Inndata Bygg'!O83+'Inndata Bygg'!S83) = 0, 0,1.833*('Inndata Bygg'!G83*('Inndata Bygg'!L83*0.5+'Inndata Bygg'!M83*0.8)+'Inndata Bygg'!O83*'Inndata Bygg'!Q83+'Inndata Bygg'!S83*'Inndata Bygg'!U83)*AG80*_xlfn.XLOOKUP(51, År_etter_ferdigstillelse,  f_tid_x_f_tek_d_0_01))</f>
        <v>0</v>
      </c>
      <c r="AE80" s="575" cm="1">
        <f t="array" ref="AE80">CalculateEmissionsReductionFromReuse('ZERO-B Beregning'!$D$17,'Inndata Bygg'!H83,'Inndata Bygg'!G83,'Inndata Bygg'!Z83,'Inndata Bygg'!X83,'Inndata Bygg'!Y83,F80,'Inndata Bygg'!B83)</f>
        <v>0</v>
      </c>
      <c r="AF80" s="333" cm="1">
        <f t="array" ref="AF80">CalculateEmissionReductionFromRecycling('ZERO-B Beregning'!$D$17,'Inndata Bygg'!H83,'Inndata Bygg'!G83,'Inndata Bygg'!AA83,'Inndata Bygg'!X83,'Inndata Bygg'!Y83,F80,'Inndata Bygg'!B83)</f>
        <v>0</v>
      </c>
      <c r="AG80" s="572">
        <f>IF(('Inndata Bygg'!G83+'Inndata Bygg'!O83+'Inndata Bygg'!S83) = 0, 0,'Inndata Bygg'!X83*Faktorer!$Z$58)</f>
        <v>0</v>
      </c>
      <c r="AH80" s="573">
        <f>IF(('Inndata Bygg'!G83+'Inndata Bygg'!O83+'Inndata Bygg'!S83) = 0, 0,'Inndata Bygg'!Z83+('Inndata Bygg'!X83+'Inndata Bygg'!Y83)*(1-Faktorer!$Z$58)*0.5)</f>
        <v>0</v>
      </c>
      <c r="AI80" s="574">
        <f>IF(('Inndata Bygg'!G83+'Inndata Bygg'!O83+'Inndata Bygg'!S83) = 0, 0,'Inndata Bygg'!AA83+('Inndata Bygg'!X83+'Inndata Bygg'!Y83)*(1-Faktorer!$Z$58)*0.5)</f>
        <v>0</v>
      </c>
      <c r="AJ80" s="634"/>
      <c r="AK80" s="90">
        <f t="shared" si="3"/>
        <v>0</v>
      </c>
      <c r="AL80" s="91">
        <f>'Resultater detaljert Bygg'!N80</f>
        <v>0</v>
      </c>
      <c r="AM80" s="91" t="str">
        <f>IF(F80=0,"",('Inndata Bygg'!E83+'Inndata Bygg'!F83)*ROUNDDOWN('Inndata Bygg'!I83,0)*(1+'Inndata Bygg'!K83))</f>
        <v/>
      </c>
    </row>
    <row r="81" spans="2:39">
      <c r="B81" s="339">
        <f>'Inndata Bygg'!B84</f>
        <v>0</v>
      </c>
      <c r="C81" s="340">
        <f>'Inndata Bygg'!C84</f>
        <v>0</v>
      </c>
      <c r="D81" s="341">
        <f>'Inndata Bygg'!D84</f>
        <v>0</v>
      </c>
      <c r="E81" s="421" cm="1">
        <f t="array" ref="E81">SUM(IFERROR(F81:AD81,0))</f>
        <v>0</v>
      </c>
      <c r="F81" s="330">
        <f>'Inndata Bygg'!E84</f>
        <v>0</v>
      </c>
      <c r="G81" s="330">
        <f>IF('Inndata Bygg'!AB84="Ja", -0.8*'Resultater detaljert Bygg'!F81, 0)</f>
        <v>0</v>
      </c>
      <c r="H81" s="330">
        <f>IF('Inndata Bygg'!AC84="Ja", -0.4*'Resultater detaljert Bygg'!$F81, 0)</f>
        <v>0</v>
      </c>
      <c r="I81" s="330">
        <f>IF('Inndata Bygg'!AD84="Ja", -1*'Resultater detaljert Bygg'!$F81, 0)</f>
        <v>0</v>
      </c>
      <c r="J81" s="330">
        <f>'Inndata Bygg'!O84*'Inndata Bygg'!P84</f>
        <v>0</v>
      </c>
      <c r="K81" s="330">
        <f>MAX(-0.75*(SUM('Resultater detaljert Bygg'!F81:J81)),-'Inndata Bygg'!O84*'Inndata Bygg'!Q84)</f>
        <v>0</v>
      </c>
      <c r="L81" s="330">
        <f>'Inndata Bygg'!S84*'Inndata Bygg'!T84</f>
        <v>0</v>
      </c>
      <c r="M81" s="330">
        <f>MAX(-0.75*(SUM('Resultater detaljert Bygg'!F81:I81,L81)),-'Inndata Bygg'!S84*'Inndata Bygg'!U84)</f>
        <v>0</v>
      </c>
      <c r="N81" s="331">
        <f>'Inndata Bygg'!F84</f>
        <v>0</v>
      </c>
      <c r="O81" s="330">
        <f>'Inndata Bygg'!O84*'Inndata Bygg'!R84</f>
        <v>0</v>
      </c>
      <c r="P81" s="332">
        <f>'Inndata Bygg'!S84*'Inndata Bygg'!V84</f>
        <v>0</v>
      </c>
      <c r="Q81" s="493">
        <f>SUM(F81:J81,L81)*'Inndata Bygg'!K84</f>
        <v>0</v>
      </c>
      <c r="R81" s="333">
        <f>(K81+M81)*'Inndata Bygg'!K84</f>
        <v>0</v>
      </c>
      <c r="S81" s="493">
        <f>N81*'Inndata Bygg'!K84</f>
        <v>0</v>
      </c>
      <c r="T81" s="494">
        <f>'Inndata Bygg'!G84*'Inndata Bygg'!K84*Transport_utslipp_til_avfallshånderting_per_kg</f>
        <v>0</v>
      </c>
      <c r="U81" s="330">
        <f>IF('Inndata Bygg'!E84 = 0, 0, 1.833*'Inndata Bygg'!X84*'Inndata Bygg'!K84*('Inndata Bygg'!G84*('Inndata Bygg'!L84*0.5+'Inndata Bygg'!M84*0.8) + (12/44)*('Inndata Bygg'!O84*'Inndata Bygg'!Q84+'Inndata Bygg'!S84*'Inndata Bygg'!U84)))</f>
        <v>0</v>
      </c>
      <c r="V81" s="335" cm="1">
        <f t="array" ref="V81">CalculateBiogenicCarbonUptake('ZERO-B Beregning'!$D$17,'Inndata Bygg'!H84,'Inndata Bygg'!G84,'Inndata Bygg'!L84,F81,AB81,AC81,AD81)</f>
        <v>0</v>
      </c>
      <c r="W81" s="576" cm="1">
        <f t="array" ref="W81">CalculateCementCarbonUptake('ZERO-B Beregning'!$D$17,'Inndata Bygg'!H84,'Inndata Bygg'!G84,'Inndata Bygg'!N84)</f>
        <v>0</v>
      </c>
      <c r="X81" s="331" cm="1">
        <f t="array" ref="X81">IF(SUM(F81:J81,L81)=0, 0, SUM(F81:J81,L81)*(1+'Inndata Bygg'!K84)*IF('Inndata Bygg'!H84&gt;50, 0, _xlfn.XLOOKUP('Inndata Bygg'!H84, År_etter_ferdigstillelse, IF(VALUE(LEFT('Inndata Bygg'!B84, 2))= 49, f_tid_x_f_tek_d_0_037_kumulativ, f_tid_x_f_tek_d_0_01_kumulativ))))</f>
        <v>0</v>
      </c>
      <c r="Y81" s="330">
        <f>IF(X81=0, 0, SUM(K81,M81)*(1+'Inndata Bygg'!K84)*IF('Inndata Bygg'!H84&gt;50, 0, _xlfn.XLOOKUP('Inndata Bygg'!H84, År_etter_ferdigstillelse, f_tid_x_f_tek_d_0_01_kumulativ)))</f>
        <v>0</v>
      </c>
      <c r="Z81" s="336">
        <f>IF(X81=0, 0, SUM(N81:P81)*(1+'Inndata Bygg'!K84)*IF('Inndata Bygg'!H84&gt;50, 0, _xlfn.XLOOKUP('Inndata Bygg'!H84, År_etter_ferdigstillelse, f_tid_x_f_tek_d_0_01_kumulativ)))</f>
        <v>0</v>
      </c>
      <c r="AA81" s="336">
        <f>IF(X81=0, 0, ('Inndata Bygg'!G84+'Inndata Bygg'!O84+'Inndata Bygg'!S84)*(1+'Inndata Bygg'!K84)*Transport_utslipp_til_avfallshånderting_per_kg*IF('Inndata Bygg'!H84&gt;50, 0, _xlfn.XLOOKUP('Inndata Bygg'!H84, År_etter_ferdigstillelse, f_tid_x_f_tek_d_0_01_kumulativ)))</f>
        <v>0</v>
      </c>
      <c r="AB81" s="580" cm="1">
        <f t="array" ref="AB81">CalculateEmissionsFromIncinerationOfWaste('ZERO-B Beregning'!$D$17,'Inndata Bygg'!H84,'Inndata Bygg'!G84,'Inndata Bygg'!X84,'Inndata Bygg'!L84,'Inndata Bygg'!M84,'Inndata Bygg'!B84)</f>
        <v>0</v>
      </c>
      <c r="AC81" s="335">
        <f>IF(('Inndata Bygg'!G84+'Inndata Bygg'!O84+'Inndata Bygg'!S84) = 0, 0,('Inndata Bygg'!G84+'Inndata Bygg'!O84+'Inndata Bygg'!S84)*(('Inndata Bygg'!X84+'Inndata Bygg'!Y84+'Inndata Bygg'!AA84)*Transport_utslipp_til_avfallshånderting_per_kg+('Inndata Bygg'!Z84*'ZERO-B Beregning'!D183/1000)*IF('ZERO-B Beregning'!F184=0,'ZERO-B Beregning'!D184,'ZERO-B Beregning'!F184))*_xlfn.XLOOKUP(51, År_etter_ferdigstillelse, f_tid_x_f_tek_d_0_01))</f>
        <v>0</v>
      </c>
      <c r="AD81" s="577">
        <f>IF(('Inndata Bygg'!G84+'Inndata Bygg'!O84+'Inndata Bygg'!S84) = 0, 0,1.833*('Inndata Bygg'!G84*('Inndata Bygg'!L84*0.5+'Inndata Bygg'!M84*0.8)+'Inndata Bygg'!O84*'Inndata Bygg'!Q84+'Inndata Bygg'!S84*'Inndata Bygg'!U84)*AG81*_xlfn.XLOOKUP(51, År_etter_ferdigstillelse,  f_tid_x_f_tek_d_0_01))</f>
        <v>0</v>
      </c>
      <c r="AE81" s="575" cm="1">
        <f t="array" ref="AE81">CalculateEmissionsReductionFromReuse('ZERO-B Beregning'!$D$17,'Inndata Bygg'!H84,'Inndata Bygg'!G84,'Inndata Bygg'!Z84,'Inndata Bygg'!X84,'Inndata Bygg'!Y84,F81,'Inndata Bygg'!B84)</f>
        <v>0</v>
      </c>
      <c r="AF81" s="333" cm="1">
        <f t="array" ref="AF81">CalculateEmissionReductionFromRecycling('ZERO-B Beregning'!$D$17,'Inndata Bygg'!H84,'Inndata Bygg'!G84,'Inndata Bygg'!AA84,'Inndata Bygg'!X84,'Inndata Bygg'!Y84,F81,'Inndata Bygg'!B84)</f>
        <v>0</v>
      </c>
      <c r="AG81" s="572">
        <f>IF(('Inndata Bygg'!G84+'Inndata Bygg'!O84+'Inndata Bygg'!S84) = 0, 0,'Inndata Bygg'!X84*Faktorer!$Z$58)</f>
        <v>0</v>
      </c>
      <c r="AH81" s="573">
        <f>IF(('Inndata Bygg'!G84+'Inndata Bygg'!O84+'Inndata Bygg'!S84) = 0, 0,'Inndata Bygg'!Z84+('Inndata Bygg'!X84+'Inndata Bygg'!Y84)*(1-Faktorer!$Z$58)*0.5)</f>
        <v>0</v>
      </c>
      <c r="AI81" s="574">
        <f>IF(('Inndata Bygg'!G84+'Inndata Bygg'!O84+'Inndata Bygg'!S84) = 0, 0,'Inndata Bygg'!AA84+('Inndata Bygg'!X84+'Inndata Bygg'!Y84)*(1-Faktorer!$Z$58)*0.5)</f>
        <v>0</v>
      </c>
      <c r="AJ81" s="634"/>
      <c r="AK81" s="90">
        <f t="shared" si="3"/>
        <v>0</v>
      </c>
      <c r="AL81" s="91">
        <f>'Resultater detaljert Bygg'!N81</f>
        <v>0</v>
      </c>
      <c r="AM81" s="91" t="str">
        <f>IF(F81=0,"",('Inndata Bygg'!E84+'Inndata Bygg'!F84)*ROUNDDOWN('Inndata Bygg'!I84,0)*(1+'Inndata Bygg'!K84))</f>
        <v/>
      </c>
    </row>
    <row r="82" spans="2:39">
      <c r="B82" s="339">
        <f>'Inndata Bygg'!B85</f>
        <v>0</v>
      </c>
      <c r="C82" s="340">
        <f>'Inndata Bygg'!C85</f>
        <v>0</v>
      </c>
      <c r="D82" s="341">
        <f>'Inndata Bygg'!D85</f>
        <v>0</v>
      </c>
      <c r="E82" s="421" cm="1">
        <f t="array" ref="E82">SUM(IFERROR(F82:AD82,0))</f>
        <v>0</v>
      </c>
      <c r="F82" s="330">
        <f>'Inndata Bygg'!E85</f>
        <v>0</v>
      </c>
      <c r="G82" s="330">
        <f>IF('Inndata Bygg'!AB85="Ja", -0.8*'Resultater detaljert Bygg'!F82, 0)</f>
        <v>0</v>
      </c>
      <c r="H82" s="330">
        <f>IF('Inndata Bygg'!AC85="Ja", -0.4*'Resultater detaljert Bygg'!$F82, 0)</f>
        <v>0</v>
      </c>
      <c r="I82" s="330">
        <f>IF('Inndata Bygg'!AD85="Ja", -1*'Resultater detaljert Bygg'!$F82, 0)</f>
        <v>0</v>
      </c>
      <c r="J82" s="330">
        <f>'Inndata Bygg'!O85*'Inndata Bygg'!P85</f>
        <v>0</v>
      </c>
      <c r="K82" s="330">
        <f>MAX(-0.75*(SUM('Resultater detaljert Bygg'!F82:J82)),-'Inndata Bygg'!O85*'Inndata Bygg'!Q85)</f>
        <v>0</v>
      </c>
      <c r="L82" s="330">
        <f>'Inndata Bygg'!S85*'Inndata Bygg'!T85</f>
        <v>0</v>
      </c>
      <c r="M82" s="330">
        <f>MAX(-0.75*(SUM('Resultater detaljert Bygg'!F82:I82,L82)),-'Inndata Bygg'!S85*'Inndata Bygg'!U85)</f>
        <v>0</v>
      </c>
      <c r="N82" s="331">
        <f>'Inndata Bygg'!F85</f>
        <v>0</v>
      </c>
      <c r="O82" s="330">
        <f>'Inndata Bygg'!O85*'Inndata Bygg'!R85</f>
        <v>0</v>
      </c>
      <c r="P82" s="332">
        <f>'Inndata Bygg'!S85*'Inndata Bygg'!V85</f>
        <v>0</v>
      </c>
      <c r="Q82" s="493">
        <f>SUM(F82:J82,L82)*'Inndata Bygg'!K85</f>
        <v>0</v>
      </c>
      <c r="R82" s="333">
        <f>(K82+M82)*'Inndata Bygg'!K85</f>
        <v>0</v>
      </c>
      <c r="S82" s="493">
        <f>N82*'Inndata Bygg'!K85</f>
        <v>0</v>
      </c>
      <c r="T82" s="494">
        <f>'Inndata Bygg'!G85*'Inndata Bygg'!K85*Transport_utslipp_til_avfallshånderting_per_kg</f>
        <v>0</v>
      </c>
      <c r="U82" s="330">
        <f>IF('Inndata Bygg'!E85 = 0, 0, 1.833*'Inndata Bygg'!X85*'Inndata Bygg'!K85*('Inndata Bygg'!G85*('Inndata Bygg'!L85*0.5+'Inndata Bygg'!M85*0.8) + (12/44)*('Inndata Bygg'!O85*'Inndata Bygg'!Q85+'Inndata Bygg'!S85*'Inndata Bygg'!U85)))</f>
        <v>0</v>
      </c>
      <c r="V82" s="335" cm="1">
        <f t="array" ref="V82">CalculateBiogenicCarbonUptake('ZERO-B Beregning'!$D$17,'Inndata Bygg'!H85,'Inndata Bygg'!G85,'Inndata Bygg'!L85,F82,AB82,AC82,AD82)</f>
        <v>0</v>
      </c>
      <c r="W82" s="576" cm="1">
        <f t="array" ref="W82">CalculateCementCarbonUptake('ZERO-B Beregning'!$D$17,'Inndata Bygg'!H85,'Inndata Bygg'!G85,'Inndata Bygg'!N85)</f>
        <v>0</v>
      </c>
      <c r="X82" s="331" cm="1">
        <f t="array" ref="X82">IF(SUM(F82:J82,L82)=0, 0, SUM(F82:J82,L82)*(1+'Inndata Bygg'!K85)*IF('Inndata Bygg'!H85&gt;50, 0, _xlfn.XLOOKUP('Inndata Bygg'!H85, År_etter_ferdigstillelse, IF(VALUE(LEFT('Inndata Bygg'!B85, 2))= 49, f_tid_x_f_tek_d_0_037_kumulativ, f_tid_x_f_tek_d_0_01_kumulativ))))</f>
        <v>0</v>
      </c>
      <c r="Y82" s="330">
        <f>IF(X82=0, 0, SUM(K82,M82)*(1+'Inndata Bygg'!K85)*IF('Inndata Bygg'!H85&gt;50, 0, _xlfn.XLOOKUP('Inndata Bygg'!H85, År_etter_ferdigstillelse, f_tid_x_f_tek_d_0_01_kumulativ)))</f>
        <v>0</v>
      </c>
      <c r="Z82" s="336">
        <f>IF(X82=0, 0, SUM(N82:P82)*(1+'Inndata Bygg'!K85)*IF('Inndata Bygg'!H85&gt;50, 0, _xlfn.XLOOKUP('Inndata Bygg'!H85, År_etter_ferdigstillelse, f_tid_x_f_tek_d_0_01_kumulativ)))</f>
        <v>0</v>
      </c>
      <c r="AA82" s="336">
        <f>IF(X82=0, 0, ('Inndata Bygg'!G85+'Inndata Bygg'!O85+'Inndata Bygg'!S85)*(1+'Inndata Bygg'!K85)*Transport_utslipp_til_avfallshånderting_per_kg*IF('Inndata Bygg'!H85&gt;50, 0, _xlfn.XLOOKUP('Inndata Bygg'!H85, År_etter_ferdigstillelse, f_tid_x_f_tek_d_0_01_kumulativ)))</f>
        <v>0</v>
      </c>
      <c r="AB82" s="580" cm="1">
        <f t="array" ref="AB82">CalculateEmissionsFromIncinerationOfWaste('ZERO-B Beregning'!$D$17,'Inndata Bygg'!H85,'Inndata Bygg'!G85,'Inndata Bygg'!X85,'Inndata Bygg'!L85,'Inndata Bygg'!M85,'Inndata Bygg'!B85)</f>
        <v>0</v>
      </c>
      <c r="AC82" s="335">
        <f>IF(('Inndata Bygg'!G85+'Inndata Bygg'!O85+'Inndata Bygg'!S85) = 0, 0,('Inndata Bygg'!G85+'Inndata Bygg'!O85+'Inndata Bygg'!S85)*(('Inndata Bygg'!X85+'Inndata Bygg'!Y85+'Inndata Bygg'!AA85)*Transport_utslipp_til_avfallshånderting_per_kg+('Inndata Bygg'!Z85*'ZERO-B Beregning'!D184/1000)*IF('ZERO-B Beregning'!F185=0,'ZERO-B Beregning'!D185,'ZERO-B Beregning'!F185))*_xlfn.XLOOKUP(51, År_etter_ferdigstillelse, f_tid_x_f_tek_d_0_01))</f>
        <v>0</v>
      </c>
      <c r="AD82" s="577">
        <f>IF(('Inndata Bygg'!G85+'Inndata Bygg'!O85+'Inndata Bygg'!S85) = 0, 0,1.833*('Inndata Bygg'!G85*('Inndata Bygg'!L85*0.5+'Inndata Bygg'!M85*0.8)+'Inndata Bygg'!O85*'Inndata Bygg'!Q85+'Inndata Bygg'!S85*'Inndata Bygg'!U85)*AG82*_xlfn.XLOOKUP(51, År_etter_ferdigstillelse,  f_tid_x_f_tek_d_0_01))</f>
        <v>0</v>
      </c>
      <c r="AE82" s="575" cm="1">
        <f t="array" ref="AE82">CalculateEmissionsReductionFromReuse('ZERO-B Beregning'!$D$17,'Inndata Bygg'!H85,'Inndata Bygg'!G85,'Inndata Bygg'!Z85,'Inndata Bygg'!X85,'Inndata Bygg'!Y85,F82,'Inndata Bygg'!B85)</f>
        <v>0</v>
      </c>
      <c r="AF82" s="333" cm="1">
        <f t="array" ref="AF82">CalculateEmissionReductionFromRecycling('ZERO-B Beregning'!$D$17,'Inndata Bygg'!H85,'Inndata Bygg'!G85,'Inndata Bygg'!AA85,'Inndata Bygg'!X85,'Inndata Bygg'!Y85,F82,'Inndata Bygg'!B85)</f>
        <v>0</v>
      </c>
      <c r="AG82" s="572">
        <f>IF(('Inndata Bygg'!G85+'Inndata Bygg'!O85+'Inndata Bygg'!S85) = 0, 0,'Inndata Bygg'!X85*Faktorer!$Z$58)</f>
        <v>0</v>
      </c>
      <c r="AH82" s="573">
        <f>IF(('Inndata Bygg'!G85+'Inndata Bygg'!O85+'Inndata Bygg'!S85) = 0, 0,'Inndata Bygg'!Z85+('Inndata Bygg'!X85+'Inndata Bygg'!Y85)*(1-Faktorer!$Z$58)*0.5)</f>
        <v>0</v>
      </c>
      <c r="AI82" s="574">
        <f>IF(('Inndata Bygg'!G85+'Inndata Bygg'!O85+'Inndata Bygg'!S85) = 0, 0,'Inndata Bygg'!AA85+('Inndata Bygg'!X85+'Inndata Bygg'!Y85)*(1-Faktorer!$Z$58)*0.5)</f>
        <v>0</v>
      </c>
      <c r="AJ82" s="634"/>
      <c r="AK82" s="90">
        <f t="shared" si="3"/>
        <v>0</v>
      </c>
      <c r="AL82" s="91">
        <f>'Resultater detaljert Bygg'!N82</f>
        <v>0</v>
      </c>
      <c r="AM82" s="91" t="str">
        <f>IF(F82=0,"",('Inndata Bygg'!E85+'Inndata Bygg'!F85)*ROUNDDOWN('Inndata Bygg'!I85,0)*(1+'Inndata Bygg'!K85))</f>
        <v/>
      </c>
    </row>
    <row r="83" spans="2:39">
      <c r="B83" s="339">
        <f>'Inndata Bygg'!B86</f>
        <v>0</v>
      </c>
      <c r="C83" s="340">
        <f>'Inndata Bygg'!C86</f>
        <v>0</v>
      </c>
      <c r="D83" s="341">
        <f>'Inndata Bygg'!D86</f>
        <v>0</v>
      </c>
      <c r="E83" s="421" cm="1">
        <f t="array" ref="E83">SUM(IFERROR(F83:AD83,0))</f>
        <v>0</v>
      </c>
      <c r="F83" s="330">
        <f>'Inndata Bygg'!E86</f>
        <v>0</v>
      </c>
      <c r="G83" s="330">
        <f>IF('Inndata Bygg'!AB86="Ja", -0.8*'Resultater detaljert Bygg'!F83, 0)</f>
        <v>0</v>
      </c>
      <c r="H83" s="330">
        <f>IF('Inndata Bygg'!AC86="Ja", -0.4*'Resultater detaljert Bygg'!$F83, 0)</f>
        <v>0</v>
      </c>
      <c r="I83" s="330">
        <f>IF('Inndata Bygg'!AD86="Ja", -1*'Resultater detaljert Bygg'!$F83, 0)</f>
        <v>0</v>
      </c>
      <c r="J83" s="330">
        <f>'Inndata Bygg'!O86*'Inndata Bygg'!P86</f>
        <v>0</v>
      </c>
      <c r="K83" s="330">
        <f>MAX(-0.75*(SUM('Resultater detaljert Bygg'!F83:J83)),-'Inndata Bygg'!O86*'Inndata Bygg'!Q86)</f>
        <v>0</v>
      </c>
      <c r="L83" s="330">
        <f>'Inndata Bygg'!S86*'Inndata Bygg'!T86</f>
        <v>0</v>
      </c>
      <c r="M83" s="330">
        <f>MAX(-0.75*(SUM('Resultater detaljert Bygg'!F83:I83,L83)),-'Inndata Bygg'!S86*'Inndata Bygg'!U86)</f>
        <v>0</v>
      </c>
      <c r="N83" s="331">
        <f>'Inndata Bygg'!F86</f>
        <v>0</v>
      </c>
      <c r="O83" s="330">
        <f>'Inndata Bygg'!O86*'Inndata Bygg'!R86</f>
        <v>0</v>
      </c>
      <c r="P83" s="332">
        <f>'Inndata Bygg'!S86*'Inndata Bygg'!V86</f>
        <v>0</v>
      </c>
      <c r="Q83" s="493">
        <f>SUM(F83:J83,L83)*'Inndata Bygg'!K86</f>
        <v>0</v>
      </c>
      <c r="R83" s="333">
        <f>(K83+M83)*'Inndata Bygg'!K86</f>
        <v>0</v>
      </c>
      <c r="S83" s="493">
        <f>N83*'Inndata Bygg'!K86</f>
        <v>0</v>
      </c>
      <c r="T83" s="494">
        <f>'Inndata Bygg'!G86*'Inndata Bygg'!K86*Transport_utslipp_til_avfallshånderting_per_kg</f>
        <v>0</v>
      </c>
      <c r="U83" s="330">
        <f>IF('Inndata Bygg'!E86 = 0, 0, 1.833*'Inndata Bygg'!X86*'Inndata Bygg'!K86*('Inndata Bygg'!G86*('Inndata Bygg'!L86*0.5+'Inndata Bygg'!M86*0.8) + (12/44)*('Inndata Bygg'!O86*'Inndata Bygg'!Q86+'Inndata Bygg'!S86*'Inndata Bygg'!U86)))</f>
        <v>0</v>
      </c>
      <c r="V83" s="335" cm="1">
        <f t="array" ref="V83">CalculateBiogenicCarbonUptake('ZERO-B Beregning'!$D$17,'Inndata Bygg'!H86,'Inndata Bygg'!G86,'Inndata Bygg'!L86,F83,AB83,AC83,AD83)</f>
        <v>0</v>
      </c>
      <c r="W83" s="576" cm="1">
        <f t="array" ref="W83">CalculateCementCarbonUptake('ZERO-B Beregning'!$D$17,'Inndata Bygg'!H86,'Inndata Bygg'!G86,'Inndata Bygg'!N86)</f>
        <v>0</v>
      </c>
      <c r="X83" s="331" cm="1">
        <f t="array" ref="X83">IF(SUM(F83:J83,L83)=0, 0, SUM(F83:J83,L83)*(1+'Inndata Bygg'!K86)*IF('Inndata Bygg'!H86&gt;50, 0, _xlfn.XLOOKUP('Inndata Bygg'!H86, År_etter_ferdigstillelse, IF(VALUE(LEFT('Inndata Bygg'!B86, 2))= 49, f_tid_x_f_tek_d_0_037_kumulativ, f_tid_x_f_tek_d_0_01_kumulativ))))</f>
        <v>0</v>
      </c>
      <c r="Y83" s="330">
        <f>IF(X83=0, 0, SUM(K83,M83)*(1+'Inndata Bygg'!K86)*IF('Inndata Bygg'!H86&gt;50, 0, _xlfn.XLOOKUP('Inndata Bygg'!H86, År_etter_ferdigstillelse, f_tid_x_f_tek_d_0_01_kumulativ)))</f>
        <v>0</v>
      </c>
      <c r="Z83" s="336">
        <f>IF(X83=0, 0, SUM(N83:P83)*(1+'Inndata Bygg'!K86)*IF('Inndata Bygg'!H86&gt;50, 0, _xlfn.XLOOKUP('Inndata Bygg'!H86, År_etter_ferdigstillelse, f_tid_x_f_tek_d_0_01_kumulativ)))</f>
        <v>0</v>
      </c>
      <c r="AA83" s="336">
        <f>IF(X83=0, 0, ('Inndata Bygg'!G86+'Inndata Bygg'!O86+'Inndata Bygg'!S86)*(1+'Inndata Bygg'!K86)*Transport_utslipp_til_avfallshånderting_per_kg*IF('Inndata Bygg'!H86&gt;50, 0, _xlfn.XLOOKUP('Inndata Bygg'!H86, År_etter_ferdigstillelse, f_tid_x_f_tek_d_0_01_kumulativ)))</f>
        <v>0</v>
      </c>
      <c r="AB83" s="580" cm="1">
        <f t="array" ref="AB83">CalculateEmissionsFromIncinerationOfWaste('ZERO-B Beregning'!$D$17,'Inndata Bygg'!H86,'Inndata Bygg'!G86,'Inndata Bygg'!X86,'Inndata Bygg'!L86,'Inndata Bygg'!M86,'Inndata Bygg'!B86)</f>
        <v>0</v>
      </c>
      <c r="AC83" s="335">
        <f>IF(('Inndata Bygg'!G86+'Inndata Bygg'!O86+'Inndata Bygg'!S86) = 0, 0,('Inndata Bygg'!G86+'Inndata Bygg'!O86+'Inndata Bygg'!S86)*(('Inndata Bygg'!X86+'Inndata Bygg'!Y86+'Inndata Bygg'!AA86)*Transport_utslipp_til_avfallshånderting_per_kg+('Inndata Bygg'!Z86*'ZERO-B Beregning'!D185/1000)*IF('ZERO-B Beregning'!F186=0,'ZERO-B Beregning'!D186,'ZERO-B Beregning'!F186))*_xlfn.XLOOKUP(51, År_etter_ferdigstillelse, f_tid_x_f_tek_d_0_01))</f>
        <v>0</v>
      </c>
      <c r="AD83" s="577">
        <f>IF(('Inndata Bygg'!G86+'Inndata Bygg'!O86+'Inndata Bygg'!S86) = 0, 0,1.833*('Inndata Bygg'!G86*('Inndata Bygg'!L86*0.5+'Inndata Bygg'!M86*0.8)+'Inndata Bygg'!O86*'Inndata Bygg'!Q86+'Inndata Bygg'!S86*'Inndata Bygg'!U86)*AG83*_xlfn.XLOOKUP(51, År_etter_ferdigstillelse,  f_tid_x_f_tek_d_0_01))</f>
        <v>0</v>
      </c>
      <c r="AE83" s="575" cm="1">
        <f t="array" ref="AE83">CalculateEmissionsReductionFromReuse('ZERO-B Beregning'!$D$17,'Inndata Bygg'!H86,'Inndata Bygg'!G86,'Inndata Bygg'!Z86,'Inndata Bygg'!X86,'Inndata Bygg'!Y86,F83,'Inndata Bygg'!B86)</f>
        <v>0</v>
      </c>
      <c r="AF83" s="333" cm="1">
        <f t="array" ref="AF83">CalculateEmissionReductionFromRecycling('ZERO-B Beregning'!$D$17,'Inndata Bygg'!H86,'Inndata Bygg'!G86,'Inndata Bygg'!AA86,'Inndata Bygg'!X86,'Inndata Bygg'!Y86,F83,'Inndata Bygg'!B86)</f>
        <v>0</v>
      </c>
      <c r="AG83" s="572">
        <f>IF(('Inndata Bygg'!G86+'Inndata Bygg'!O86+'Inndata Bygg'!S86) = 0, 0,'Inndata Bygg'!X86*Faktorer!$Z$58)</f>
        <v>0</v>
      </c>
      <c r="AH83" s="573">
        <f>IF(('Inndata Bygg'!G86+'Inndata Bygg'!O86+'Inndata Bygg'!S86) = 0, 0,'Inndata Bygg'!Z86+('Inndata Bygg'!X86+'Inndata Bygg'!Y86)*(1-Faktorer!$Z$58)*0.5)</f>
        <v>0</v>
      </c>
      <c r="AI83" s="574">
        <f>IF(('Inndata Bygg'!G86+'Inndata Bygg'!O86+'Inndata Bygg'!S86) = 0, 0,'Inndata Bygg'!AA86+('Inndata Bygg'!X86+'Inndata Bygg'!Y86)*(1-Faktorer!$Z$58)*0.5)</f>
        <v>0</v>
      </c>
      <c r="AJ83" s="634"/>
      <c r="AK83" s="90">
        <f t="shared" si="3"/>
        <v>0</v>
      </c>
      <c r="AL83" s="91">
        <f>'Resultater detaljert Bygg'!N83</f>
        <v>0</v>
      </c>
      <c r="AM83" s="91" t="str">
        <f>IF(F83=0,"",('Inndata Bygg'!E86+'Inndata Bygg'!F86)*ROUNDDOWN('Inndata Bygg'!I86,0)*(1+'Inndata Bygg'!K86))</f>
        <v/>
      </c>
    </row>
    <row r="84" spans="2:39">
      <c r="B84" s="339">
        <f>'Inndata Bygg'!B87</f>
        <v>0</v>
      </c>
      <c r="C84" s="340">
        <f>'Inndata Bygg'!C87</f>
        <v>0</v>
      </c>
      <c r="D84" s="341">
        <f>'Inndata Bygg'!D87</f>
        <v>0</v>
      </c>
      <c r="E84" s="421" cm="1">
        <f t="array" ref="E84">SUM(IFERROR(F84:AD84,0))</f>
        <v>0</v>
      </c>
      <c r="F84" s="330">
        <f>'Inndata Bygg'!E87</f>
        <v>0</v>
      </c>
      <c r="G84" s="330">
        <f>IF('Inndata Bygg'!AB87="Ja", -0.8*'Resultater detaljert Bygg'!F84, 0)</f>
        <v>0</v>
      </c>
      <c r="H84" s="330">
        <f>IF('Inndata Bygg'!AC87="Ja", -0.4*'Resultater detaljert Bygg'!$F84, 0)</f>
        <v>0</v>
      </c>
      <c r="I84" s="330">
        <f>IF('Inndata Bygg'!AD87="Ja", -1*'Resultater detaljert Bygg'!$F84, 0)</f>
        <v>0</v>
      </c>
      <c r="J84" s="330">
        <f>'Inndata Bygg'!O87*'Inndata Bygg'!P87</f>
        <v>0</v>
      </c>
      <c r="K84" s="330">
        <f>MAX(-0.75*(SUM('Resultater detaljert Bygg'!F84:J84)),-'Inndata Bygg'!O87*'Inndata Bygg'!Q87)</f>
        <v>0</v>
      </c>
      <c r="L84" s="330">
        <f>'Inndata Bygg'!S87*'Inndata Bygg'!T87</f>
        <v>0</v>
      </c>
      <c r="M84" s="330">
        <f>MAX(-0.75*(SUM('Resultater detaljert Bygg'!F84:I84,L84)),-'Inndata Bygg'!S87*'Inndata Bygg'!U87)</f>
        <v>0</v>
      </c>
      <c r="N84" s="331">
        <f>'Inndata Bygg'!F87</f>
        <v>0</v>
      </c>
      <c r="O84" s="330">
        <f>'Inndata Bygg'!O87*'Inndata Bygg'!R87</f>
        <v>0</v>
      </c>
      <c r="P84" s="332">
        <f>'Inndata Bygg'!S87*'Inndata Bygg'!V87</f>
        <v>0</v>
      </c>
      <c r="Q84" s="493">
        <f>SUM(F84:J84,L84)*'Inndata Bygg'!K87</f>
        <v>0</v>
      </c>
      <c r="R84" s="333">
        <f>(K84+M84)*'Inndata Bygg'!K87</f>
        <v>0</v>
      </c>
      <c r="S84" s="493">
        <f>N84*'Inndata Bygg'!K87</f>
        <v>0</v>
      </c>
      <c r="T84" s="494">
        <f>'Inndata Bygg'!G87*'Inndata Bygg'!K87*Transport_utslipp_til_avfallshånderting_per_kg</f>
        <v>0</v>
      </c>
      <c r="U84" s="330">
        <f>IF('Inndata Bygg'!E87 = 0, 0, 1.833*'Inndata Bygg'!X87*'Inndata Bygg'!K87*('Inndata Bygg'!G87*('Inndata Bygg'!L87*0.5+'Inndata Bygg'!M87*0.8) + (12/44)*('Inndata Bygg'!O87*'Inndata Bygg'!Q87+'Inndata Bygg'!S87*'Inndata Bygg'!U87)))</f>
        <v>0</v>
      </c>
      <c r="V84" s="335" cm="1">
        <f t="array" ref="V84">CalculateBiogenicCarbonUptake('ZERO-B Beregning'!$D$17,'Inndata Bygg'!H87,'Inndata Bygg'!G87,'Inndata Bygg'!L87,F84,AB84,AC84,AD84)</f>
        <v>0</v>
      </c>
      <c r="W84" s="576" cm="1">
        <f t="array" ref="W84">CalculateCementCarbonUptake('ZERO-B Beregning'!$D$17,'Inndata Bygg'!H87,'Inndata Bygg'!G87,'Inndata Bygg'!N87)</f>
        <v>0</v>
      </c>
      <c r="X84" s="331" cm="1">
        <f t="array" ref="X84">IF(SUM(F84:J84,L84)=0, 0, SUM(F84:J84,L84)*(1+'Inndata Bygg'!K87)*IF('Inndata Bygg'!H87&gt;50, 0, _xlfn.XLOOKUP('Inndata Bygg'!H87, År_etter_ferdigstillelse, IF(VALUE(LEFT('Inndata Bygg'!B87, 2))= 49, f_tid_x_f_tek_d_0_037_kumulativ, f_tid_x_f_tek_d_0_01_kumulativ))))</f>
        <v>0</v>
      </c>
      <c r="Y84" s="330">
        <f>IF(X84=0, 0, SUM(K84,M84)*(1+'Inndata Bygg'!K87)*IF('Inndata Bygg'!H87&gt;50, 0, _xlfn.XLOOKUP('Inndata Bygg'!H87, År_etter_ferdigstillelse, f_tid_x_f_tek_d_0_01_kumulativ)))</f>
        <v>0</v>
      </c>
      <c r="Z84" s="336">
        <f>IF(X84=0, 0, SUM(N84:P84)*(1+'Inndata Bygg'!K87)*IF('Inndata Bygg'!H87&gt;50, 0, _xlfn.XLOOKUP('Inndata Bygg'!H87, År_etter_ferdigstillelse, f_tid_x_f_tek_d_0_01_kumulativ)))</f>
        <v>0</v>
      </c>
      <c r="AA84" s="336">
        <f>IF(X84=0, 0, ('Inndata Bygg'!G87+'Inndata Bygg'!O87+'Inndata Bygg'!S87)*(1+'Inndata Bygg'!K87)*Transport_utslipp_til_avfallshånderting_per_kg*IF('Inndata Bygg'!H87&gt;50, 0, _xlfn.XLOOKUP('Inndata Bygg'!H87, År_etter_ferdigstillelse, f_tid_x_f_tek_d_0_01_kumulativ)))</f>
        <v>0</v>
      </c>
      <c r="AB84" s="580" cm="1">
        <f t="array" ref="AB84">CalculateEmissionsFromIncinerationOfWaste('ZERO-B Beregning'!$D$17,'Inndata Bygg'!H87,'Inndata Bygg'!G87,'Inndata Bygg'!X87,'Inndata Bygg'!L87,'Inndata Bygg'!M87,'Inndata Bygg'!B87)</f>
        <v>0</v>
      </c>
      <c r="AC84" s="335">
        <f>IF(('Inndata Bygg'!G87+'Inndata Bygg'!O87+'Inndata Bygg'!S87) = 0, 0,('Inndata Bygg'!G87+'Inndata Bygg'!O87+'Inndata Bygg'!S87)*(('Inndata Bygg'!X87+'Inndata Bygg'!Y87+'Inndata Bygg'!AA87)*Transport_utslipp_til_avfallshånderting_per_kg+('Inndata Bygg'!Z87*'ZERO-B Beregning'!D186/1000)*IF('ZERO-B Beregning'!F187=0,'ZERO-B Beregning'!D187,'ZERO-B Beregning'!F187))*_xlfn.XLOOKUP(51, År_etter_ferdigstillelse, f_tid_x_f_tek_d_0_01))</f>
        <v>0</v>
      </c>
      <c r="AD84" s="577">
        <f>IF(('Inndata Bygg'!G87+'Inndata Bygg'!O87+'Inndata Bygg'!S87) = 0, 0,1.833*('Inndata Bygg'!G87*('Inndata Bygg'!L87*0.5+'Inndata Bygg'!M87*0.8)+'Inndata Bygg'!O87*'Inndata Bygg'!Q87+'Inndata Bygg'!S87*'Inndata Bygg'!U87)*AG84*_xlfn.XLOOKUP(51, År_etter_ferdigstillelse,  f_tid_x_f_tek_d_0_01))</f>
        <v>0</v>
      </c>
      <c r="AE84" s="575" cm="1">
        <f t="array" ref="AE84">CalculateEmissionsReductionFromReuse('ZERO-B Beregning'!$D$17,'Inndata Bygg'!H87,'Inndata Bygg'!G87,'Inndata Bygg'!Z87,'Inndata Bygg'!X87,'Inndata Bygg'!Y87,F84,'Inndata Bygg'!B87)</f>
        <v>0</v>
      </c>
      <c r="AF84" s="333" cm="1">
        <f t="array" ref="AF84">CalculateEmissionReductionFromRecycling('ZERO-B Beregning'!$D$17,'Inndata Bygg'!H87,'Inndata Bygg'!G87,'Inndata Bygg'!AA87,'Inndata Bygg'!X87,'Inndata Bygg'!Y87,F84,'Inndata Bygg'!B87)</f>
        <v>0</v>
      </c>
      <c r="AG84" s="572">
        <f>IF(('Inndata Bygg'!G87+'Inndata Bygg'!O87+'Inndata Bygg'!S87) = 0, 0,'Inndata Bygg'!X87*Faktorer!$Z$58)</f>
        <v>0</v>
      </c>
      <c r="AH84" s="573">
        <f>IF(('Inndata Bygg'!G87+'Inndata Bygg'!O87+'Inndata Bygg'!S87) = 0, 0,'Inndata Bygg'!Z87+('Inndata Bygg'!X87+'Inndata Bygg'!Y87)*(1-Faktorer!$Z$58)*0.5)</f>
        <v>0</v>
      </c>
      <c r="AI84" s="574">
        <f>IF(('Inndata Bygg'!G87+'Inndata Bygg'!O87+'Inndata Bygg'!S87) = 0, 0,'Inndata Bygg'!AA87+('Inndata Bygg'!X87+'Inndata Bygg'!Y87)*(1-Faktorer!$Z$58)*0.5)</f>
        <v>0</v>
      </c>
      <c r="AJ84" s="634"/>
      <c r="AK84" s="90">
        <f t="shared" si="3"/>
        <v>0</v>
      </c>
      <c r="AL84" s="91">
        <f>'Resultater detaljert Bygg'!N84</f>
        <v>0</v>
      </c>
      <c r="AM84" s="91" t="str">
        <f>IF(F84=0,"",('Inndata Bygg'!E87+'Inndata Bygg'!F87)*ROUNDDOWN('Inndata Bygg'!I87,0)*(1+'Inndata Bygg'!K87))</f>
        <v/>
      </c>
    </row>
    <row r="85" spans="2:39">
      <c r="B85" s="339">
        <f>'Inndata Bygg'!B88</f>
        <v>0</v>
      </c>
      <c r="C85" s="340">
        <f>'Inndata Bygg'!C88</f>
        <v>0</v>
      </c>
      <c r="D85" s="341">
        <f>'Inndata Bygg'!D88</f>
        <v>0</v>
      </c>
      <c r="E85" s="421" cm="1">
        <f t="array" ref="E85">SUM(IFERROR(F85:AD85,0))</f>
        <v>0</v>
      </c>
      <c r="F85" s="330">
        <f>'Inndata Bygg'!E88</f>
        <v>0</v>
      </c>
      <c r="G85" s="330">
        <f>IF('Inndata Bygg'!AB88="Ja", -0.8*'Resultater detaljert Bygg'!F85, 0)</f>
        <v>0</v>
      </c>
      <c r="H85" s="330">
        <f>IF('Inndata Bygg'!AC88="Ja", -0.4*'Resultater detaljert Bygg'!$F85, 0)</f>
        <v>0</v>
      </c>
      <c r="I85" s="330">
        <f>IF('Inndata Bygg'!AD88="Ja", -1*'Resultater detaljert Bygg'!$F85, 0)</f>
        <v>0</v>
      </c>
      <c r="J85" s="330">
        <f>'Inndata Bygg'!O88*'Inndata Bygg'!P88</f>
        <v>0</v>
      </c>
      <c r="K85" s="330">
        <f>MAX(-0.75*(SUM('Resultater detaljert Bygg'!F85:J85)),-'Inndata Bygg'!O88*'Inndata Bygg'!Q88)</f>
        <v>0</v>
      </c>
      <c r="L85" s="330">
        <f>'Inndata Bygg'!S88*'Inndata Bygg'!T88</f>
        <v>0</v>
      </c>
      <c r="M85" s="330">
        <f>MAX(-0.75*(SUM('Resultater detaljert Bygg'!F85:I85,L85)),-'Inndata Bygg'!S88*'Inndata Bygg'!U88)</f>
        <v>0</v>
      </c>
      <c r="N85" s="331">
        <f>'Inndata Bygg'!F88</f>
        <v>0</v>
      </c>
      <c r="O85" s="330">
        <f>'Inndata Bygg'!O88*'Inndata Bygg'!R88</f>
        <v>0</v>
      </c>
      <c r="P85" s="332">
        <f>'Inndata Bygg'!S88*'Inndata Bygg'!V88</f>
        <v>0</v>
      </c>
      <c r="Q85" s="493">
        <f>SUM(F85:J85,L85)*'Inndata Bygg'!K88</f>
        <v>0</v>
      </c>
      <c r="R85" s="333">
        <f>(K85+M85)*'Inndata Bygg'!K88</f>
        <v>0</v>
      </c>
      <c r="S85" s="493">
        <f>N85*'Inndata Bygg'!K88</f>
        <v>0</v>
      </c>
      <c r="T85" s="494">
        <f>'Inndata Bygg'!G88*'Inndata Bygg'!K88*Transport_utslipp_til_avfallshånderting_per_kg</f>
        <v>0</v>
      </c>
      <c r="U85" s="330">
        <f>IF('Inndata Bygg'!E88 = 0, 0, 1.833*'Inndata Bygg'!X88*'Inndata Bygg'!K88*('Inndata Bygg'!G88*('Inndata Bygg'!L88*0.5+'Inndata Bygg'!M88*0.8) + (12/44)*('Inndata Bygg'!O88*'Inndata Bygg'!Q88+'Inndata Bygg'!S88*'Inndata Bygg'!U88)))</f>
        <v>0</v>
      </c>
      <c r="V85" s="335" cm="1">
        <f t="array" ref="V85">CalculateBiogenicCarbonUptake('ZERO-B Beregning'!$D$17,'Inndata Bygg'!H88,'Inndata Bygg'!G88,'Inndata Bygg'!L88,F85,AB85,AC85,AD85)</f>
        <v>0</v>
      </c>
      <c r="W85" s="576" cm="1">
        <f t="array" ref="W85">CalculateCementCarbonUptake('ZERO-B Beregning'!$D$17,'Inndata Bygg'!H88,'Inndata Bygg'!G88,'Inndata Bygg'!N88)</f>
        <v>0</v>
      </c>
      <c r="X85" s="331" cm="1">
        <f t="array" ref="X85">IF(SUM(F85:J85,L85)=0, 0, SUM(F85:J85,L85)*(1+'Inndata Bygg'!K88)*IF('Inndata Bygg'!H88&gt;50, 0, _xlfn.XLOOKUP('Inndata Bygg'!H88, År_etter_ferdigstillelse, IF(VALUE(LEFT('Inndata Bygg'!B88, 2))= 49, f_tid_x_f_tek_d_0_037_kumulativ, f_tid_x_f_tek_d_0_01_kumulativ))))</f>
        <v>0</v>
      </c>
      <c r="Y85" s="330">
        <f>IF(X85=0, 0, SUM(K85,M85)*(1+'Inndata Bygg'!K88)*IF('Inndata Bygg'!H88&gt;50, 0, _xlfn.XLOOKUP('Inndata Bygg'!H88, År_etter_ferdigstillelse, f_tid_x_f_tek_d_0_01_kumulativ)))</f>
        <v>0</v>
      </c>
      <c r="Z85" s="336">
        <f>IF(X85=0, 0, SUM(N85:P85)*(1+'Inndata Bygg'!K88)*IF('Inndata Bygg'!H88&gt;50, 0, _xlfn.XLOOKUP('Inndata Bygg'!H88, År_etter_ferdigstillelse, f_tid_x_f_tek_d_0_01_kumulativ)))</f>
        <v>0</v>
      </c>
      <c r="AA85" s="336">
        <f>IF(X85=0, 0, ('Inndata Bygg'!G88+'Inndata Bygg'!O88+'Inndata Bygg'!S88)*(1+'Inndata Bygg'!K88)*Transport_utslipp_til_avfallshånderting_per_kg*IF('Inndata Bygg'!H88&gt;50, 0, _xlfn.XLOOKUP('Inndata Bygg'!H88, År_etter_ferdigstillelse, f_tid_x_f_tek_d_0_01_kumulativ)))</f>
        <v>0</v>
      </c>
      <c r="AB85" s="580" cm="1">
        <f t="array" ref="AB85">CalculateEmissionsFromIncinerationOfWaste('ZERO-B Beregning'!$D$17,'Inndata Bygg'!H88,'Inndata Bygg'!G88,'Inndata Bygg'!X88,'Inndata Bygg'!L88,'Inndata Bygg'!M88,'Inndata Bygg'!B88)</f>
        <v>0</v>
      </c>
      <c r="AC85" s="335">
        <f>IF(('Inndata Bygg'!G88+'Inndata Bygg'!O88+'Inndata Bygg'!S88) = 0, 0,('Inndata Bygg'!G88+'Inndata Bygg'!O88+'Inndata Bygg'!S88)*(('Inndata Bygg'!X88+'Inndata Bygg'!Y88+'Inndata Bygg'!AA88)*Transport_utslipp_til_avfallshånderting_per_kg+('Inndata Bygg'!Z88*'ZERO-B Beregning'!D187/1000)*IF('ZERO-B Beregning'!F188=0,'ZERO-B Beregning'!D188,'ZERO-B Beregning'!F188))*_xlfn.XLOOKUP(51, År_etter_ferdigstillelse, f_tid_x_f_tek_d_0_01))</f>
        <v>0</v>
      </c>
      <c r="AD85" s="577">
        <f>IF(('Inndata Bygg'!G88+'Inndata Bygg'!O88+'Inndata Bygg'!S88) = 0, 0,1.833*('Inndata Bygg'!G88*('Inndata Bygg'!L88*0.5+'Inndata Bygg'!M88*0.8)+'Inndata Bygg'!O88*'Inndata Bygg'!Q88+'Inndata Bygg'!S88*'Inndata Bygg'!U88)*AG85*_xlfn.XLOOKUP(51, År_etter_ferdigstillelse,  f_tid_x_f_tek_d_0_01))</f>
        <v>0</v>
      </c>
      <c r="AE85" s="575" cm="1">
        <f t="array" ref="AE85">CalculateEmissionsReductionFromReuse('ZERO-B Beregning'!$D$17,'Inndata Bygg'!H88,'Inndata Bygg'!G88,'Inndata Bygg'!Z88,'Inndata Bygg'!X88,'Inndata Bygg'!Y88,F85,'Inndata Bygg'!B88)</f>
        <v>0</v>
      </c>
      <c r="AF85" s="333" cm="1">
        <f t="array" ref="AF85">CalculateEmissionReductionFromRecycling('ZERO-B Beregning'!$D$17,'Inndata Bygg'!H88,'Inndata Bygg'!G88,'Inndata Bygg'!AA88,'Inndata Bygg'!X88,'Inndata Bygg'!Y88,F85,'Inndata Bygg'!B88)</f>
        <v>0</v>
      </c>
      <c r="AG85" s="572">
        <f>IF(('Inndata Bygg'!G88+'Inndata Bygg'!O88+'Inndata Bygg'!S88) = 0, 0,'Inndata Bygg'!X88*Faktorer!$Z$58)</f>
        <v>0</v>
      </c>
      <c r="AH85" s="573">
        <f>IF(('Inndata Bygg'!G88+'Inndata Bygg'!O88+'Inndata Bygg'!S88) = 0, 0,'Inndata Bygg'!Z88+('Inndata Bygg'!X88+'Inndata Bygg'!Y88)*(1-Faktorer!$Z$58)*0.5)</f>
        <v>0</v>
      </c>
      <c r="AI85" s="574">
        <f>IF(('Inndata Bygg'!G88+'Inndata Bygg'!O88+'Inndata Bygg'!S88) = 0, 0,'Inndata Bygg'!AA88+('Inndata Bygg'!X88+'Inndata Bygg'!Y88)*(1-Faktorer!$Z$58)*0.5)</f>
        <v>0</v>
      </c>
      <c r="AJ85" s="634"/>
      <c r="AK85" s="90">
        <f t="shared" si="3"/>
        <v>0</v>
      </c>
      <c r="AL85" s="91">
        <f>'Resultater detaljert Bygg'!N85</f>
        <v>0</v>
      </c>
      <c r="AM85" s="91" t="str">
        <f>IF(F85=0,"",('Inndata Bygg'!E88+'Inndata Bygg'!F88)*ROUNDDOWN('Inndata Bygg'!I88,0)*(1+'Inndata Bygg'!K88))</f>
        <v/>
      </c>
    </row>
    <row r="86" spans="2:39">
      <c r="B86" s="339">
        <f>'Inndata Bygg'!B89</f>
        <v>0</v>
      </c>
      <c r="C86" s="340">
        <f>'Inndata Bygg'!C89</f>
        <v>0</v>
      </c>
      <c r="D86" s="341">
        <f>'Inndata Bygg'!D89</f>
        <v>0</v>
      </c>
      <c r="E86" s="421" cm="1">
        <f t="array" ref="E86">SUM(IFERROR(F86:AD86,0))</f>
        <v>0</v>
      </c>
      <c r="F86" s="330">
        <f>'Inndata Bygg'!E89</f>
        <v>0</v>
      </c>
      <c r="G86" s="330">
        <f>IF('Inndata Bygg'!AB89="Ja", -0.8*'Resultater detaljert Bygg'!F86, 0)</f>
        <v>0</v>
      </c>
      <c r="H86" s="330">
        <f>IF('Inndata Bygg'!AC89="Ja", -0.4*'Resultater detaljert Bygg'!$F86, 0)</f>
        <v>0</v>
      </c>
      <c r="I86" s="330">
        <f>IF('Inndata Bygg'!AD89="Ja", -1*'Resultater detaljert Bygg'!$F86, 0)</f>
        <v>0</v>
      </c>
      <c r="J86" s="330">
        <f>'Inndata Bygg'!O89*'Inndata Bygg'!P89</f>
        <v>0</v>
      </c>
      <c r="K86" s="330">
        <f>MAX(-0.75*(SUM('Resultater detaljert Bygg'!F86:J86)),-'Inndata Bygg'!O89*'Inndata Bygg'!Q89)</f>
        <v>0</v>
      </c>
      <c r="L86" s="330">
        <f>'Inndata Bygg'!S89*'Inndata Bygg'!T89</f>
        <v>0</v>
      </c>
      <c r="M86" s="330">
        <f>MAX(-0.75*(SUM('Resultater detaljert Bygg'!F86:I86,L86)),-'Inndata Bygg'!S89*'Inndata Bygg'!U89)</f>
        <v>0</v>
      </c>
      <c r="N86" s="331">
        <f>'Inndata Bygg'!F89</f>
        <v>0</v>
      </c>
      <c r="O86" s="330">
        <f>'Inndata Bygg'!O89*'Inndata Bygg'!R89</f>
        <v>0</v>
      </c>
      <c r="P86" s="332">
        <f>'Inndata Bygg'!S89*'Inndata Bygg'!V89</f>
        <v>0</v>
      </c>
      <c r="Q86" s="493">
        <f>SUM(F86:J86,L86)*'Inndata Bygg'!K89</f>
        <v>0</v>
      </c>
      <c r="R86" s="333">
        <f>(K86+M86)*'Inndata Bygg'!K89</f>
        <v>0</v>
      </c>
      <c r="S86" s="493">
        <f>N86*'Inndata Bygg'!K89</f>
        <v>0</v>
      </c>
      <c r="T86" s="494">
        <f>'Inndata Bygg'!G89*'Inndata Bygg'!K89*Transport_utslipp_til_avfallshånderting_per_kg</f>
        <v>0</v>
      </c>
      <c r="U86" s="330">
        <f>IF('Inndata Bygg'!E89 = 0, 0, 1.833*'Inndata Bygg'!X89*'Inndata Bygg'!K89*('Inndata Bygg'!G89*('Inndata Bygg'!L89*0.5+'Inndata Bygg'!M89*0.8) + (12/44)*('Inndata Bygg'!O89*'Inndata Bygg'!Q89+'Inndata Bygg'!S89*'Inndata Bygg'!U89)))</f>
        <v>0</v>
      </c>
      <c r="V86" s="335" cm="1">
        <f t="array" ref="V86">CalculateBiogenicCarbonUptake('ZERO-B Beregning'!$D$17,'Inndata Bygg'!H89,'Inndata Bygg'!G89,'Inndata Bygg'!L89,F86,AB86,AC86,AD86)</f>
        <v>0</v>
      </c>
      <c r="W86" s="576" cm="1">
        <f t="array" ref="W86">CalculateCementCarbonUptake('ZERO-B Beregning'!$D$17,'Inndata Bygg'!H89,'Inndata Bygg'!G89,'Inndata Bygg'!N89)</f>
        <v>0</v>
      </c>
      <c r="X86" s="331" cm="1">
        <f t="array" ref="X86">IF(SUM(F86:J86,L86)=0, 0, SUM(F86:J86,L86)*(1+'Inndata Bygg'!K89)*IF('Inndata Bygg'!H89&gt;50, 0, _xlfn.XLOOKUP('Inndata Bygg'!H89, År_etter_ferdigstillelse, IF(VALUE(LEFT('Inndata Bygg'!B89, 2))= 49, f_tid_x_f_tek_d_0_037_kumulativ, f_tid_x_f_tek_d_0_01_kumulativ))))</f>
        <v>0</v>
      </c>
      <c r="Y86" s="330">
        <f>IF(X86=0, 0, SUM(K86,M86)*(1+'Inndata Bygg'!K89)*IF('Inndata Bygg'!H89&gt;50, 0, _xlfn.XLOOKUP('Inndata Bygg'!H89, År_etter_ferdigstillelse, f_tid_x_f_tek_d_0_01_kumulativ)))</f>
        <v>0</v>
      </c>
      <c r="Z86" s="336">
        <f>IF(X86=0, 0, SUM(N86:P86)*(1+'Inndata Bygg'!K89)*IF('Inndata Bygg'!H89&gt;50, 0, _xlfn.XLOOKUP('Inndata Bygg'!H89, År_etter_ferdigstillelse, f_tid_x_f_tek_d_0_01_kumulativ)))</f>
        <v>0</v>
      </c>
      <c r="AA86" s="336">
        <f>IF(X86=0, 0, ('Inndata Bygg'!G89+'Inndata Bygg'!O89+'Inndata Bygg'!S89)*(1+'Inndata Bygg'!K89)*Transport_utslipp_til_avfallshånderting_per_kg*IF('Inndata Bygg'!H89&gt;50, 0, _xlfn.XLOOKUP('Inndata Bygg'!H89, År_etter_ferdigstillelse, f_tid_x_f_tek_d_0_01_kumulativ)))</f>
        <v>0</v>
      </c>
      <c r="AB86" s="580" cm="1">
        <f t="array" ref="AB86">CalculateEmissionsFromIncinerationOfWaste('ZERO-B Beregning'!$D$17,'Inndata Bygg'!H89,'Inndata Bygg'!G89,'Inndata Bygg'!X89,'Inndata Bygg'!L89,'Inndata Bygg'!M89,'Inndata Bygg'!B89)</f>
        <v>0</v>
      </c>
      <c r="AC86" s="335">
        <f>IF(('Inndata Bygg'!G89+'Inndata Bygg'!O89+'Inndata Bygg'!S89) = 0, 0,('Inndata Bygg'!G89+'Inndata Bygg'!O89+'Inndata Bygg'!S89)*(('Inndata Bygg'!X89+'Inndata Bygg'!Y89+'Inndata Bygg'!AA89)*Transport_utslipp_til_avfallshånderting_per_kg+('Inndata Bygg'!Z89*'ZERO-B Beregning'!D188/1000)*IF('ZERO-B Beregning'!F189=0,'ZERO-B Beregning'!D189,'ZERO-B Beregning'!F189))*_xlfn.XLOOKUP(51, År_etter_ferdigstillelse, f_tid_x_f_tek_d_0_01))</f>
        <v>0</v>
      </c>
      <c r="AD86" s="577">
        <f>IF(('Inndata Bygg'!G89+'Inndata Bygg'!O89+'Inndata Bygg'!S89) = 0, 0,1.833*('Inndata Bygg'!G89*('Inndata Bygg'!L89*0.5+'Inndata Bygg'!M89*0.8)+'Inndata Bygg'!O89*'Inndata Bygg'!Q89+'Inndata Bygg'!S89*'Inndata Bygg'!U89)*AG86*_xlfn.XLOOKUP(51, År_etter_ferdigstillelse,  f_tid_x_f_tek_d_0_01))</f>
        <v>0</v>
      </c>
      <c r="AE86" s="575" cm="1">
        <f t="array" ref="AE86">CalculateEmissionsReductionFromReuse('ZERO-B Beregning'!$D$17,'Inndata Bygg'!H89,'Inndata Bygg'!G89,'Inndata Bygg'!Z89,'Inndata Bygg'!X89,'Inndata Bygg'!Y89,F86,'Inndata Bygg'!B89)</f>
        <v>0</v>
      </c>
      <c r="AF86" s="333" cm="1">
        <f t="array" ref="AF86">CalculateEmissionReductionFromRecycling('ZERO-B Beregning'!$D$17,'Inndata Bygg'!H89,'Inndata Bygg'!G89,'Inndata Bygg'!AA89,'Inndata Bygg'!X89,'Inndata Bygg'!Y89,F86,'Inndata Bygg'!B89)</f>
        <v>0</v>
      </c>
      <c r="AG86" s="572">
        <f>IF(('Inndata Bygg'!G89+'Inndata Bygg'!O89+'Inndata Bygg'!S89) = 0, 0,'Inndata Bygg'!X89*Faktorer!$Z$58)</f>
        <v>0</v>
      </c>
      <c r="AH86" s="573">
        <f>IF(('Inndata Bygg'!G89+'Inndata Bygg'!O89+'Inndata Bygg'!S89) = 0, 0,'Inndata Bygg'!Z89+('Inndata Bygg'!X89+'Inndata Bygg'!Y89)*(1-Faktorer!$Z$58)*0.5)</f>
        <v>0</v>
      </c>
      <c r="AI86" s="574">
        <f>IF(('Inndata Bygg'!G89+'Inndata Bygg'!O89+'Inndata Bygg'!S89) = 0, 0,'Inndata Bygg'!AA89+('Inndata Bygg'!X89+'Inndata Bygg'!Y89)*(1-Faktorer!$Z$58)*0.5)</f>
        <v>0</v>
      </c>
      <c r="AJ86" s="634"/>
      <c r="AK86" s="90">
        <f t="shared" si="3"/>
        <v>0</v>
      </c>
      <c r="AL86" s="91">
        <f>'Resultater detaljert Bygg'!N86</f>
        <v>0</v>
      </c>
      <c r="AM86" s="91" t="str">
        <f>IF(F86=0,"",('Inndata Bygg'!E89+'Inndata Bygg'!F89)*ROUNDDOWN('Inndata Bygg'!I89,0)*(1+'Inndata Bygg'!K89))</f>
        <v/>
      </c>
    </row>
    <row r="87" spans="2:39">
      <c r="B87" s="339">
        <f>'Inndata Bygg'!B90</f>
        <v>0</v>
      </c>
      <c r="C87" s="340">
        <f>'Inndata Bygg'!C90</f>
        <v>0</v>
      </c>
      <c r="D87" s="341">
        <f>'Inndata Bygg'!D90</f>
        <v>0</v>
      </c>
      <c r="E87" s="421" cm="1">
        <f t="array" ref="E87">SUM(IFERROR(F87:AD87,0))</f>
        <v>0</v>
      </c>
      <c r="F87" s="330">
        <f>'Inndata Bygg'!E90</f>
        <v>0</v>
      </c>
      <c r="G87" s="330">
        <f>IF('Inndata Bygg'!AB90="Ja", -0.8*'Resultater detaljert Bygg'!F87, 0)</f>
        <v>0</v>
      </c>
      <c r="H87" s="330">
        <f>IF('Inndata Bygg'!AC90="Ja", -0.4*'Resultater detaljert Bygg'!$F87, 0)</f>
        <v>0</v>
      </c>
      <c r="I87" s="330">
        <f>IF('Inndata Bygg'!AD90="Ja", -1*'Resultater detaljert Bygg'!$F87, 0)</f>
        <v>0</v>
      </c>
      <c r="J87" s="330">
        <f>'Inndata Bygg'!O90*'Inndata Bygg'!P90</f>
        <v>0</v>
      </c>
      <c r="K87" s="330">
        <f>MAX(-0.75*(SUM('Resultater detaljert Bygg'!F87:J87)),-'Inndata Bygg'!O90*'Inndata Bygg'!Q90)</f>
        <v>0</v>
      </c>
      <c r="L87" s="330">
        <f>'Inndata Bygg'!S90*'Inndata Bygg'!T90</f>
        <v>0</v>
      </c>
      <c r="M87" s="330">
        <f>MAX(-0.75*(SUM('Resultater detaljert Bygg'!F87:I87,L87)),-'Inndata Bygg'!S90*'Inndata Bygg'!U90)</f>
        <v>0</v>
      </c>
      <c r="N87" s="331">
        <f>'Inndata Bygg'!F90</f>
        <v>0</v>
      </c>
      <c r="O87" s="330">
        <f>'Inndata Bygg'!O90*'Inndata Bygg'!R90</f>
        <v>0</v>
      </c>
      <c r="P87" s="332">
        <f>'Inndata Bygg'!S90*'Inndata Bygg'!V90</f>
        <v>0</v>
      </c>
      <c r="Q87" s="493">
        <f>SUM(F87:J87,L87)*'Inndata Bygg'!K90</f>
        <v>0</v>
      </c>
      <c r="R87" s="333">
        <f>(K87+M87)*'Inndata Bygg'!K90</f>
        <v>0</v>
      </c>
      <c r="S87" s="493">
        <f>N87*'Inndata Bygg'!K90</f>
        <v>0</v>
      </c>
      <c r="T87" s="494">
        <f>'Inndata Bygg'!G90*'Inndata Bygg'!K90*Transport_utslipp_til_avfallshånderting_per_kg</f>
        <v>0</v>
      </c>
      <c r="U87" s="330">
        <f>IF('Inndata Bygg'!E90 = 0, 0, 1.833*'Inndata Bygg'!X90*'Inndata Bygg'!K90*('Inndata Bygg'!G90*('Inndata Bygg'!L90*0.5+'Inndata Bygg'!M90*0.8) + (12/44)*('Inndata Bygg'!O90*'Inndata Bygg'!Q90+'Inndata Bygg'!S90*'Inndata Bygg'!U90)))</f>
        <v>0</v>
      </c>
      <c r="V87" s="335" cm="1">
        <f t="array" ref="V87">CalculateBiogenicCarbonUptake('ZERO-B Beregning'!$D$17,'Inndata Bygg'!H90,'Inndata Bygg'!G90,'Inndata Bygg'!L90,F87,AB87,AC87,AD87)</f>
        <v>0</v>
      </c>
      <c r="W87" s="576" cm="1">
        <f t="array" ref="W87">CalculateCementCarbonUptake('ZERO-B Beregning'!$D$17,'Inndata Bygg'!H90,'Inndata Bygg'!G90,'Inndata Bygg'!N90)</f>
        <v>0</v>
      </c>
      <c r="X87" s="331" cm="1">
        <f t="array" ref="X87">IF(SUM(F87:J87,L87)=0, 0, SUM(F87:J87,L87)*(1+'Inndata Bygg'!K90)*IF('Inndata Bygg'!H90&gt;50, 0, _xlfn.XLOOKUP('Inndata Bygg'!H90, År_etter_ferdigstillelse, IF(VALUE(LEFT('Inndata Bygg'!B90, 2))= 49, f_tid_x_f_tek_d_0_037_kumulativ, f_tid_x_f_tek_d_0_01_kumulativ))))</f>
        <v>0</v>
      </c>
      <c r="Y87" s="330">
        <f>IF(X87=0, 0, SUM(K87,M87)*(1+'Inndata Bygg'!K90)*IF('Inndata Bygg'!H90&gt;50, 0, _xlfn.XLOOKUP('Inndata Bygg'!H90, År_etter_ferdigstillelse, f_tid_x_f_tek_d_0_01_kumulativ)))</f>
        <v>0</v>
      </c>
      <c r="Z87" s="336">
        <f>IF(X87=0, 0, SUM(N87:P87)*(1+'Inndata Bygg'!K90)*IF('Inndata Bygg'!H90&gt;50, 0, _xlfn.XLOOKUP('Inndata Bygg'!H90, År_etter_ferdigstillelse, f_tid_x_f_tek_d_0_01_kumulativ)))</f>
        <v>0</v>
      </c>
      <c r="AA87" s="336">
        <f>IF(X87=0, 0, ('Inndata Bygg'!G90+'Inndata Bygg'!O90+'Inndata Bygg'!S90)*(1+'Inndata Bygg'!K90)*Transport_utslipp_til_avfallshånderting_per_kg*IF('Inndata Bygg'!H90&gt;50, 0, _xlfn.XLOOKUP('Inndata Bygg'!H90, År_etter_ferdigstillelse, f_tid_x_f_tek_d_0_01_kumulativ)))</f>
        <v>0</v>
      </c>
      <c r="AB87" s="580" cm="1">
        <f t="array" ref="AB87">CalculateEmissionsFromIncinerationOfWaste('ZERO-B Beregning'!$D$17,'Inndata Bygg'!H90,'Inndata Bygg'!G90,'Inndata Bygg'!X90,'Inndata Bygg'!L90,'Inndata Bygg'!M90,'Inndata Bygg'!B90)</f>
        <v>0</v>
      </c>
      <c r="AC87" s="335">
        <f>IF(('Inndata Bygg'!G90+'Inndata Bygg'!O90+'Inndata Bygg'!S90) = 0, 0,('Inndata Bygg'!G90+'Inndata Bygg'!O90+'Inndata Bygg'!S90)*(('Inndata Bygg'!X90+'Inndata Bygg'!Y90+'Inndata Bygg'!AA90)*Transport_utslipp_til_avfallshånderting_per_kg+('Inndata Bygg'!Z90*'ZERO-B Beregning'!D189/1000)*IF('ZERO-B Beregning'!F190=0,'ZERO-B Beregning'!D190,'ZERO-B Beregning'!F190))*_xlfn.XLOOKUP(51, År_etter_ferdigstillelse, f_tid_x_f_tek_d_0_01))</f>
        <v>0</v>
      </c>
      <c r="AD87" s="577">
        <f>IF(('Inndata Bygg'!G90+'Inndata Bygg'!O90+'Inndata Bygg'!S90) = 0, 0,1.833*('Inndata Bygg'!G90*('Inndata Bygg'!L90*0.5+'Inndata Bygg'!M90*0.8)+'Inndata Bygg'!O90*'Inndata Bygg'!Q90+'Inndata Bygg'!S90*'Inndata Bygg'!U90)*AG87*_xlfn.XLOOKUP(51, År_etter_ferdigstillelse,  f_tid_x_f_tek_d_0_01))</f>
        <v>0</v>
      </c>
      <c r="AE87" s="575" cm="1">
        <f t="array" ref="AE87">CalculateEmissionsReductionFromReuse('ZERO-B Beregning'!$D$17,'Inndata Bygg'!H90,'Inndata Bygg'!G90,'Inndata Bygg'!Z90,'Inndata Bygg'!X90,'Inndata Bygg'!Y90,F87,'Inndata Bygg'!B90)</f>
        <v>0</v>
      </c>
      <c r="AF87" s="333" cm="1">
        <f t="array" ref="AF87">CalculateEmissionReductionFromRecycling('ZERO-B Beregning'!$D$17,'Inndata Bygg'!H90,'Inndata Bygg'!G90,'Inndata Bygg'!AA90,'Inndata Bygg'!X90,'Inndata Bygg'!Y90,F87,'Inndata Bygg'!B90)</f>
        <v>0</v>
      </c>
      <c r="AG87" s="572">
        <f>IF(('Inndata Bygg'!G90+'Inndata Bygg'!O90+'Inndata Bygg'!S90) = 0, 0,'Inndata Bygg'!X90*Faktorer!$Z$58)</f>
        <v>0</v>
      </c>
      <c r="AH87" s="573">
        <f>IF(('Inndata Bygg'!G90+'Inndata Bygg'!O90+'Inndata Bygg'!S90) = 0, 0,'Inndata Bygg'!Z90+('Inndata Bygg'!X90+'Inndata Bygg'!Y90)*(1-Faktorer!$Z$58)*0.5)</f>
        <v>0</v>
      </c>
      <c r="AI87" s="574">
        <f>IF(('Inndata Bygg'!G90+'Inndata Bygg'!O90+'Inndata Bygg'!S90) = 0, 0,'Inndata Bygg'!AA90+('Inndata Bygg'!X90+'Inndata Bygg'!Y90)*(1-Faktorer!$Z$58)*0.5)</f>
        <v>0</v>
      </c>
      <c r="AJ87" s="634"/>
      <c r="AK87" s="90">
        <f t="shared" si="3"/>
        <v>0</v>
      </c>
      <c r="AL87" s="91">
        <f>'Resultater detaljert Bygg'!N87</f>
        <v>0</v>
      </c>
      <c r="AM87" s="91" t="str">
        <f>IF(F87=0,"",('Inndata Bygg'!E90+'Inndata Bygg'!F90)*ROUNDDOWN('Inndata Bygg'!I90,0)*(1+'Inndata Bygg'!K90))</f>
        <v/>
      </c>
    </row>
    <row r="88" spans="2:39">
      <c r="B88" s="339">
        <f>'Inndata Bygg'!B91</f>
        <v>0</v>
      </c>
      <c r="C88" s="340">
        <f>'Inndata Bygg'!C91</f>
        <v>0</v>
      </c>
      <c r="D88" s="341">
        <f>'Inndata Bygg'!D91</f>
        <v>0</v>
      </c>
      <c r="E88" s="421" cm="1">
        <f t="array" ref="E88">SUM(IFERROR(F88:AD88,0))</f>
        <v>0</v>
      </c>
      <c r="F88" s="330">
        <f>'Inndata Bygg'!E91</f>
        <v>0</v>
      </c>
      <c r="G88" s="330">
        <f>IF('Inndata Bygg'!AB91="Ja", -0.8*'Resultater detaljert Bygg'!F88, 0)</f>
        <v>0</v>
      </c>
      <c r="H88" s="330">
        <f>IF('Inndata Bygg'!AC91="Ja", -0.4*'Resultater detaljert Bygg'!$F88, 0)</f>
        <v>0</v>
      </c>
      <c r="I88" s="330">
        <f>IF('Inndata Bygg'!AD91="Ja", -1*'Resultater detaljert Bygg'!$F88, 0)</f>
        <v>0</v>
      </c>
      <c r="J88" s="330">
        <f>'Inndata Bygg'!O91*'Inndata Bygg'!P91</f>
        <v>0</v>
      </c>
      <c r="K88" s="330">
        <f>MAX(-0.75*(SUM('Resultater detaljert Bygg'!F88:J88)),-'Inndata Bygg'!O91*'Inndata Bygg'!Q91)</f>
        <v>0</v>
      </c>
      <c r="L88" s="330">
        <f>'Inndata Bygg'!S91*'Inndata Bygg'!T91</f>
        <v>0</v>
      </c>
      <c r="M88" s="330">
        <f>MAX(-0.75*(SUM('Resultater detaljert Bygg'!F88:I88,L88)),-'Inndata Bygg'!S91*'Inndata Bygg'!U91)</f>
        <v>0</v>
      </c>
      <c r="N88" s="331">
        <f>'Inndata Bygg'!F91</f>
        <v>0</v>
      </c>
      <c r="O88" s="330">
        <f>'Inndata Bygg'!O91*'Inndata Bygg'!R91</f>
        <v>0</v>
      </c>
      <c r="P88" s="332">
        <f>'Inndata Bygg'!S91*'Inndata Bygg'!V91</f>
        <v>0</v>
      </c>
      <c r="Q88" s="493">
        <f>SUM(F88:J88,L88)*'Inndata Bygg'!K91</f>
        <v>0</v>
      </c>
      <c r="R88" s="333">
        <f>(K88+M88)*'Inndata Bygg'!K91</f>
        <v>0</v>
      </c>
      <c r="S88" s="493">
        <f>N88*'Inndata Bygg'!K91</f>
        <v>0</v>
      </c>
      <c r="T88" s="494">
        <f>'Inndata Bygg'!G91*'Inndata Bygg'!K91*Transport_utslipp_til_avfallshånderting_per_kg</f>
        <v>0</v>
      </c>
      <c r="U88" s="330">
        <f>IF('Inndata Bygg'!E91 = 0, 0, 1.833*'Inndata Bygg'!X91*'Inndata Bygg'!K91*('Inndata Bygg'!G91*('Inndata Bygg'!L91*0.5+'Inndata Bygg'!M91*0.8) + (12/44)*('Inndata Bygg'!O91*'Inndata Bygg'!Q91+'Inndata Bygg'!S91*'Inndata Bygg'!U91)))</f>
        <v>0</v>
      </c>
      <c r="V88" s="335" cm="1">
        <f t="array" ref="V88">CalculateBiogenicCarbonUptake('ZERO-B Beregning'!$D$17,'Inndata Bygg'!H91,'Inndata Bygg'!G91,'Inndata Bygg'!L91,F88,AB88,AC88,AD88)</f>
        <v>0</v>
      </c>
      <c r="W88" s="576" cm="1">
        <f t="array" ref="W88">CalculateCementCarbonUptake('ZERO-B Beregning'!$D$17,'Inndata Bygg'!H91,'Inndata Bygg'!G91,'Inndata Bygg'!N91)</f>
        <v>0</v>
      </c>
      <c r="X88" s="331" cm="1">
        <f t="array" ref="X88">IF(SUM(F88:J88,L88)=0, 0, SUM(F88:J88,L88)*(1+'Inndata Bygg'!K91)*IF('Inndata Bygg'!H91&gt;50, 0, _xlfn.XLOOKUP('Inndata Bygg'!H91, År_etter_ferdigstillelse, IF(VALUE(LEFT('Inndata Bygg'!B91, 2))= 49, f_tid_x_f_tek_d_0_037_kumulativ, f_tid_x_f_tek_d_0_01_kumulativ))))</f>
        <v>0</v>
      </c>
      <c r="Y88" s="330">
        <f>IF(X88=0, 0, SUM(K88,M88)*(1+'Inndata Bygg'!K91)*IF('Inndata Bygg'!H91&gt;50, 0, _xlfn.XLOOKUP('Inndata Bygg'!H91, År_etter_ferdigstillelse, f_tid_x_f_tek_d_0_01_kumulativ)))</f>
        <v>0</v>
      </c>
      <c r="Z88" s="336">
        <f>IF(X88=0, 0, SUM(N88:P88)*(1+'Inndata Bygg'!K91)*IF('Inndata Bygg'!H91&gt;50, 0, _xlfn.XLOOKUP('Inndata Bygg'!H91, År_etter_ferdigstillelse, f_tid_x_f_tek_d_0_01_kumulativ)))</f>
        <v>0</v>
      </c>
      <c r="AA88" s="336">
        <f>IF(X88=0, 0, ('Inndata Bygg'!G91+'Inndata Bygg'!O91+'Inndata Bygg'!S91)*(1+'Inndata Bygg'!K91)*Transport_utslipp_til_avfallshånderting_per_kg*IF('Inndata Bygg'!H91&gt;50, 0, _xlfn.XLOOKUP('Inndata Bygg'!H91, År_etter_ferdigstillelse, f_tid_x_f_tek_d_0_01_kumulativ)))</f>
        <v>0</v>
      </c>
      <c r="AB88" s="580" cm="1">
        <f t="array" ref="AB88">CalculateEmissionsFromIncinerationOfWaste('ZERO-B Beregning'!$D$17,'Inndata Bygg'!H91,'Inndata Bygg'!G91,'Inndata Bygg'!X91,'Inndata Bygg'!L91,'Inndata Bygg'!M91,'Inndata Bygg'!B91)</f>
        <v>0</v>
      </c>
      <c r="AC88" s="335">
        <f>IF(('Inndata Bygg'!G91+'Inndata Bygg'!O91+'Inndata Bygg'!S91) = 0, 0,('Inndata Bygg'!G91+'Inndata Bygg'!O91+'Inndata Bygg'!S91)*(('Inndata Bygg'!X91+'Inndata Bygg'!Y91+'Inndata Bygg'!AA91)*Transport_utslipp_til_avfallshånderting_per_kg+('Inndata Bygg'!Z91*'ZERO-B Beregning'!D190/1000)*IF('ZERO-B Beregning'!F191=0,'ZERO-B Beregning'!D191,'ZERO-B Beregning'!F191))*_xlfn.XLOOKUP(51, År_etter_ferdigstillelse, f_tid_x_f_tek_d_0_01))</f>
        <v>0</v>
      </c>
      <c r="AD88" s="577">
        <f>IF(('Inndata Bygg'!G91+'Inndata Bygg'!O91+'Inndata Bygg'!S91) = 0, 0,1.833*('Inndata Bygg'!G91*('Inndata Bygg'!L91*0.5+'Inndata Bygg'!M91*0.8)+'Inndata Bygg'!O91*'Inndata Bygg'!Q91+'Inndata Bygg'!S91*'Inndata Bygg'!U91)*AG88*_xlfn.XLOOKUP(51, År_etter_ferdigstillelse,  f_tid_x_f_tek_d_0_01))</f>
        <v>0</v>
      </c>
      <c r="AE88" s="575" cm="1">
        <f t="array" ref="AE88">CalculateEmissionsReductionFromReuse('ZERO-B Beregning'!$D$17,'Inndata Bygg'!H91,'Inndata Bygg'!G91,'Inndata Bygg'!Z91,'Inndata Bygg'!X91,'Inndata Bygg'!Y91,F88,'Inndata Bygg'!B91)</f>
        <v>0</v>
      </c>
      <c r="AF88" s="333" cm="1">
        <f t="array" ref="AF88">CalculateEmissionReductionFromRecycling('ZERO-B Beregning'!$D$17,'Inndata Bygg'!H91,'Inndata Bygg'!G91,'Inndata Bygg'!AA91,'Inndata Bygg'!X91,'Inndata Bygg'!Y91,F88,'Inndata Bygg'!B91)</f>
        <v>0</v>
      </c>
      <c r="AG88" s="572">
        <f>IF(('Inndata Bygg'!G91+'Inndata Bygg'!O91+'Inndata Bygg'!S91) = 0, 0,'Inndata Bygg'!X91*Faktorer!$Z$58)</f>
        <v>0</v>
      </c>
      <c r="AH88" s="573">
        <f>IF(('Inndata Bygg'!G91+'Inndata Bygg'!O91+'Inndata Bygg'!S91) = 0, 0,'Inndata Bygg'!Z91+('Inndata Bygg'!X91+'Inndata Bygg'!Y91)*(1-Faktorer!$Z$58)*0.5)</f>
        <v>0</v>
      </c>
      <c r="AI88" s="574">
        <f>IF(('Inndata Bygg'!G91+'Inndata Bygg'!O91+'Inndata Bygg'!S91) = 0, 0,'Inndata Bygg'!AA91+('Inndata Bygg'!X91+'Inndata Bygg'!Y91)*(1-Faktorer!$Z$58)*0.5)</f>
        <v>0</v>
      </c>
      <c r="AJ88" s="634"/>
      <c r="AK88" s="90">
        <f t="shared" si="3"/>
        <v>0</v>
      </c>
      <c r="AL88" s="91">
        <f>'Resultater detaljert Bygg'!N88</f>
        <v>0</v>
      </c>
      <c r="AM88" s="91" t="str">
        <f>IF(F88=0,"",('Inndata Bygg'!E91+'Inndata Bygg'!F91)*ROUNDDOWN('Inndata Bygg'!I91,0)*(1+'Inndata Bygg'!K91))</f>
        <v/>
      </c>
    </row>
    <row r="89" spans="2:39">
      <c r="B89" s="339">
        <f>'Inndata Bygg'!B92</f>
        <v>0</v>
      </c>
      <c r="C89" s="340">
        <f>'Inndata Bygg'!C92</f>
        <v>0</v>
      </c>
      <c r="D89" s="341">
        <f>'Inndata Bygg'!D92</f>
        <v>0</v>
      </c>
      <c r="E89" s="421" cm="1">
        <f t="array" ref="E89">SUM(IFERROR(F89:AD89,0))</f>
        <v>0</v>
      </c>
      <c r="F89" s="330">
        <f>'Inndata Bygg'!E92</f>
        <v>0</v>
      </c>
      <c r="G89" s="330">
        <f>IF('Inndata Bygg'!AB92="Ja", -0.8*'Resultater detaljert Bygg'!F89, 0)</f>
        <v>0</v>
      </c>
      <c r="H89" s="330">
        <f>IF('Inndata Bygg'!AC92="Ja", -0.4*'Resultater detaljert Bygg'!$F89, 0)</f>
        <v>0</v>
      </c>
      <c r="I89" s="330">
        <f>IF('Inndata Bygg'!AD92="Ja", -1*'Resultater detaljert Bygg'!$F89, 0)</f>
        <v>0</v>
      </c>
      <c r="J89" s="330">
        <f>'Inndata Bygg'!O92*'Inndata Bygg'!P92</f>
        <v>0</v>
      </c>
      <c r="K89" s="330">
        <f>MAX(-0.75*(SUM('Resultater detaljert Bygg'!F89:J89)),-'Inndata Bygg'!O92*'Inndata Bygg'!Q92)</f>
        <v>0</v>
      </c>
      <c r="L89" s="330">
        <f>'Inndata Bygg'!S92*'Inndata Bygg'!T92</f>
        <v>0</v>
      </c>
      <c r="M89" s="330">
        <f>MAX(-0.75*(SUM('Resultater detaljert Bygg'!F89:I89,L89)),-'Inndata Bygg'!S92*'Inndata Bygg'!U92)</f>
        <v>0</v>
      </c>
      <c r="N89" s="331">
        <f>'Inndata Bygg'!F92</f>
        <v>0</v>
      </c>
      <c r="O89" s="330">
        <f>'Inndata Bygg'!O92*'Inndata Bygg'!R92</f>
        <v>0</v>
      </c>
      <c r="P89" s="332">
        <f>'Inndata Bygg'!S92*'Inndata Bygg'!V92</f>
        <v>0</v>
      </c>
      <c r="Q89" s="493">
        <f>SUM(F89:J89,L89)*'Inndata Bygg'!K92</f>
        <v>0</v>
      </c>
      <c r="R89" s="333">
        <f>(K89+M89)*'Inndata Bygg'!K92</f>
        <v>0</v>
      </c>
      <c r="S89" s="493">
        <f>N89*'Inndata Bygg'!K92</f>
        <v>0</v>
      </c>
      <c r="T89" s="494">
        <f>'Inndata Bygg'!G92*'Inndata Bygg'!K92*Transport_utslipp_til_avfallshånderting_per_kg</f>
        <v>0</v>
      </c>
      <c r="U89" s="330">
        <f>IF('Inndata Bygg'!E92 = 0, 0, 1.833*'Inndata Bygg'!X92*'Inndata Bygg'!K92*('Inndata Bygg'!G92*('Inndata Bygg'!L92*0.5+'Inndata Bygg'!M92*0.8) + (12/44)*('Inndata Bygg'!O92*'Inndata Bygg'!Q92+'Inndata Bygg'!S92*'Inndata Bygg'!U92)))</f>
        <v>0</v>
      </c>
      <c r="V89" s="335" cm="1">
        <f t="array" ref="V89">CalculateBiogenicCarbonUptake('ZERO-B Beregning'!$D$17,'Inndata Bygg'!H92,'Inndata Bygg'!G92,'Inndata Bygg'!L92,F89,AB89,AC89,AD89)</f>
        <v>0</v>
      </c>
      <c r="W89" s="576" cm="1">
        <f t="array" ref="W89">CalculateCementCarbonUptake('ZERO-B Beregning'!$D$17,'Inndata Bygg'!H92,'Inndata Bygg'!G92,'Inndata Bygg'!N92)</f>
        <v>0</v>
      </c>
      <c r="X89" s="331" cm="1">
        <f t="array" ref="X89">IF(SUM(F89:J89,L89)=0, 0, SUM(F89:J89,L89)*(1+'Inndata Bygg'!K92)*IF('Inndata Bygg'!H92&gt;50, 0, _xlfn.XLOOKUP('Inndata Bygg'!H92, År_etter_ferdigstillelse, IF(VALUE(LEFT('Inndata Bygg'!B92, 2))= 49, f_tid_x_f_tek_d_0_037_kumulativ, f_tid_x_f_tek_d_0_01_kumulativ))))</f>
        <v>0</v>
      </c>
      <c r="Y89" s="330">
        <f>IF(X89=0, 0, SUM(K89,M89)*(1+'Inndata Bygg'!K92)*IF('Inndata Bygg'!H92&gt;50, 0, _xlfn.XLOOKUP('Inndata Bygg'!H92, År_etter_ferdigstillelse, f_tid_x_f_tek_d_0_01_kumulativ)))</f>
        <v>0</v>
      </c>
      <c r="Z89" s="336">
        <f>IF(X89=0, 0, SUM(N89:P89)*(1+'Inndata Bygg'!K92)*IF('Inndata Bygg'!H92&gt;50, 0, _xlfn.XLOOKUP('Inndata Bygg'!H92, År_etter_ferdigstillelse, f_tid_x_f_tek_d_0_01_kumulativ)))</f>
        <v>0</v>
      </c>
      <c r="AA89" s="336">
        <f>IF(X89=0, 0, ('Inndata Bygg'!G92+'Inndata Bygg'!O92+'Inndata Bygg'!S92)*(1+'Inndata Bygg'!K92)*Transport_utslipp_til_avfallshånderting_per_kg*IF('Inndata Bygg'!H92&gt;50, 0, _xlfn.XLOOKUP('Inndata Bygg'!H92, År_etter_ferdigstillelse, f_tid_x_f_tek_d_0_01_kumulativ)))</f>
        <v>0</v>
      </c>
      <c r="AB89" s="580" cm="1">
        <f t="array" ref="AB89">CalculateEmissionsFromIncinerationOfWaste('ZERO-B Beregning'!$D$17,'Inndata Bygg'!H92,'Inndata Bygg'!G92,'Inndata Bygg'!X92,'Inndata Bygg'!L92,'Inndata Bygg'!M92,'Inndata Bygg'!B92)</f>
        <v>0</v>
      </c>
      <c r="AC89" s="335">
        <f>IF(('Inndata Bygg'!G92+'Inndata Bygg'!O92+'Inndata Bygg'!S92) = 0, 0,('Inndata Bygg'!G92+'Inndata Bygg'!O92+'Inndata Bygg'!S92)*(('Inndata Bygg'!X92+'Inndata Bygg'!Y92+'Inndata Bygg'!AA92)*Transport_utslipp_til_avfallshånderting_per_kg+('Inndata Bygg'!Z92*'ZERO-B Beregning'!D191/1000)*IF('ZERO-B Beregning'!F192=0,'ZERO-B Beregning'!D192,'ZERO-B Beregning'!F192))*_xlfn.XLOOKUP(51, År_etter_ferdigstillelse, f_tid_x_f_tek_d_0_01))</f>
        <v>0</v>
      </c>
      <c r="AD89" s="577">
        <f>IF(('Inndata Bygg'!G92+'Inndata Bygg'!O92+'Inndata Bygg'!S92) = 0, 0,1.833*('Inndata Bygg'!G92*('Inndata Bygg'!L92*0.5+'Inndata Bygg'!M92*0.8)+'Inndata Bygg'!O92*'Inndata Bygg'!Q92+'Inndata Bygg'!S92*'Inndata Bygg'!U92)*AG89*_xlfn.XLOOKUP(51, År_etter_ferdigstillelse,  f_tid_x_f_tek_d_0_01))</f>
        <v>0</v>
      </c>
      <c r="AE89" s="575" cm="1">
        <f t="array" ref="AE89">CalculateEmissionsReductionFromReuse('ZERO-B Beregning'!$D$17,'Inndata Bygg'!H92,'Inndata Bygg'!G92,'Inndata Bygg'!Z92,'Inndata Bygg'!X92,'Inndata Bygg'!Y92,F89,'Inndata Bygg'!B92)</f>
        <v>0</v>
      </c>
      <c r="AF89" s="333" cm="1">
        <f t="array" ref="AF89">CalculateEmissionReductionFromRecycling('ZERO-B Beregning'!$D$17,'Inndata Bygg'!H92,'Inndata Bygg'!G92,'Inndata Bygg'!AA92,'Inndata Bygg'!X92,'Inndata Bygg'!Y92,F89,'Inndata Bygg'!B92)</f>
        <v>0</v>
      </c>
      <c r="AG89" s="572">
        <f>IF(('Inndata Bygg'!G92+'Inndata Bygg'!O92+'Inndata Bygg'!S92) = 0, 0,'Inndata Bygg'!X92*Faktorer!$Z$58)</f>
        <v>0</v>
      </c>
      <c r="AH89" s="573">
        <f>IF(('Inndata Bygg'!G92+'Inndata Bygg'!O92+'Inndata Bygg'!S92) = 0, 0,'Inndata Bygg'!Z92+('Inndata Bygg'!X92+'Inndata Bygg'!Y92)*(1-Faktorer!$Z$58)*0.5)</f>
        <v>0</v>
      </c>
      <c r="AI89" s="574">
        <f>IF(('Inndata Bygg'!G92+'Inndata Bygg'!O92+'Inndata Bygg'!S92) = 0, 0,'Inndata Bygg'!AA92+('Inndata Bygg'!X92+'Inndata Bygg'!Y92)*(1-Faktorer!$Z$58)*0.5)</f>
        <v>0</v>
      </c>
      <c r="AJ89" s="634"/>
      <c r="AK89" s="90">
        <f t="shared" si="3"/>
        <v>0</v>
      </c>
      <c r="AL89" s="91">
        <f>'Resultater detaljert Bygg'!N89</f>
        <v>0</v>
      </c>
      <c r="AM89" s="91" t="str">
        <f>IF(F89=0,"",('Inndata Bygg'!E92+'Inndata Bygg'!F92)*ROUNDDOWN('Inndata Bygg'!I92,0)*(1+'Inndata Bygg'!K92))</f>
        <v/>
      </c>
    </row>
    <row r="90" spans="2:39">
      <c r="B90" s="339">
        <f>'Inndata Bygg'!B93</f>
        <v>0</v>
      </c>
      <c r="C90" s="340">
        <f>'Inndata Bygg'!C93</f>
        <v>0</v>
      </c>
      <c r="D90" s="341">
        <f>'Inndata Bygg'!D93</f>
        <v>0</v>
      </c>
      <c r="E90" s="421" cm="1">
        <f t="array" ref="E90">SUM(IFERROR(F90:AD90,0))</f>
        <v>0</v>
      </c>
      <c r="F90" s="330">
        <f>'Inndata Bygg'!E93</f>
        <v>0</v>
      </c>
      <c r="G90" s="330">
        <f>IF('Inndata Bygg'!AB93="Ja", -0.8*'Resultater detaljert Bygg'!F90, 0)</f>
        <v>0</v>
      </c>
      <c r="H90" s="330">
        <f>IF('Inndata Bygg'!AC93="Ja", -0.4*'Resultater detaljert Bygg'!$F90, 0)</f>
        <v>0</v>
      </c>
      <c r="I90" s="330">
        <f>IF('Inndata Bygg'!AD93="Ja", -1*'Resultater detaljert Bygg'!$F90, 0)</f>
        <v>0</v>
      </c>
      <c r="J90" s="330">
        <f>'Inndata Bygg'!O93*'Inndata Bygg'!P93</f>
        <v>0</v>
      </c>
      <c r="K90" s="330">
        <f>MAX(-0.75*(SUM('Resultater detaljert Bygg'!F90:J90)),-'Inndata Bygg'!O93*'Inndata Bygg'!Q93)</f>
        <v>0</v>
      </c>
      <c r="L90" s="330">
        <f>'Inndata Bygg'!S93*'Inndata Bygg'!T93</f>
        <v>0</v>
      </c>
      <c r="M90" s="330">
        <f>MAX(-0.75*(SUM('Resultater detaljert Bygg'!F90:I90,L90)),-'Inndata Bygg'!S93*'Inndata Bygg'!U93)</f>
        <v>0</v>
      </c>
      <c r="N90" s="331">
        <f>'Inndata Bygg'!F93</f>
        <v>0</v>
      </c>
      <c r="O90" s="330">
        <f>'Inndata Bygg'!O93*'Inndata Bygg'!R93</f>
        <v>0</v>
      </c>
      <c r="P90" s="332">
        <f>'Inndata Bygg'!S93*'Inndata Bygg'!V93</f>
        <v>0</v>
      </c>
      <c r="Q90" s="493">
        <f>SUM(F90:J90,L90)*'Inndata Bygg'!K93</f>
        <v>0</v>
      </c>
      <c r="R90" s="333">
        <f>(K90+M90)*'Inndata Bygg'!K93</f>
        <v>0</v>
      </c>
      <c r="S90" s="493">
        <f>N90*'Inndata Bygg'!K93</f>
        <v>0</v>
      </c>
      <c r="T90" s="494">
        <f>'Inndata Bygg'!G93*'Inndata Bygg'!K93*Transport_utslipp_til_avfallshånderting_per_kg</f>
        <v>0</v>
      </c>
      <c r="U90" s="330">
        <f>IF('Inndata Bygg'!E93 = 0, 0, 1.833*'Inndata Bygg'!X93*'Inndata Bygg'!K93*('Inndata Bygg'!G93*('Inndata Bygg'!L93*0.5+'Inndata Bygg'!M93*0.8) + (12/44)*('Inndata Bygg'!O93*'Inndata Bygg'!Q93+'Inndata Bygg'!S93*'Inndata Bygg'!U93)))</f>
        <v>0</v>
      </c>
      <c r="V90" s="335" cm="1">
        <f t="array" ref="V90">CalculateBiogenicCarbonUptake('ZERO-B Beregning'!$D$17,'Inndata Bygg'!H93,'Inndata Bygg'!G93,'Inndata Bygg'!L93,F90,AB90,AC90,AD90)</f>
        <v>0</v>
      </c>
      <c r="W90" s="576" cm="1">
        <f t="array" ref="W90">CalculateCementCarbonUptake('ZERO-B Beregning'!$D$17,'Inndata Bygg'!H93,'Inndata Bygg'!G93,'Inndata Bygg'!N93)</f>
        <v>0</v>
      </c>
      <c r="X90" s="331" cm="1">
        <f t="array" ref="X90">IF(SUM(F90:J90,L90)=0, 0, SUM(F90:J90,L90)*(1+'Inndata Bygg'!K93)*IF('Inndata Bygg'!H93&gt;50, 0, _xlfn.XLOOKUP('Inndata Bygg'!H93, År_etter_ferdigstillelse, IF(VALUE(LEFT('Inndata Bygg'!B93, 2))= 49, f_tid_x_f_tek_d_0_037_kumulativ, f_tid_x_f_tek_d_0_01_kumulativ))))</f>
        <v>0</v>
      </c>
      <c r="Y90" s="330">
        <f>IF(X90=0, 0, SUM(K90,M90)*(1+'Inndata Bygg'!K93)*IF('Inndata Bygg'!H93&gt;50, 0, _xlfn.XLOOKUP('Inndata Bygg'!H93, År_etter_ferdigstillelse, f_tid_x_f_tek_d_0_01_kumulativ)))</f>
        <v>0</v>
      </c>
      <c r="Z90" s="336">
        <f>IF(X90=0, 0, SUM(N90:P90)*(1+'Inndata Bygg'!K93)*IF('Inndata Bygg'!H93&gt;50, 0, _xlfn.XLOOKUP('Inndata Bygg'!H93, År_etter_ferdigstillelse, f_tid_x_f_tek_d_0_01_kumulativ)))</f>
        <v>0</v>
      </c>
      <c r="AA90" s="336">
        <f>IF(X90=0, 0, ('Inndata Bygg'!G93+'Inndata Bygg'!O93+'Inndata Bygg'!S93)*(1+'Inndata Bygg'!K93)*Transport_utslipp_til_avfallshånderting_per_kg*IF('Inndata Bygg'!H93&gt;50, 0, _xlfn.XLOOKUP('Inndata Bygg'!H93, År_etter_ferdigstillelse, f_tid_x_f_tek_d_0_01_kumulativ)))</f>
        <v>0</v>
      </c>
      <c r="AB90" s="580" cm="1">
        <f t="array" ref="AB90">CalculateEmissionsFromIncinerationOfWaste('ZERO-B Beregning'!$D$17,'Inndata Bygg'!H93,'Inndata Bygg'!G93,'Inndata Bygg'!X93,'Inndata Bygg'!L93,'Inndata Bygg'!M93,'Inndata Bygg'!B93)</f>
        <v>0</v>
      </c>
      <c r="AC90" s="335">
        <f>IF(('Inndata Bygg'!G93+'Inndata Bygg'!O93+'Inndata Bygg'!S93) = 0, 0,('Inndata Bygg'!G93+'Inndata Bygg'!O93+'Inndata Bygg'!S93)*(('Inndata Bygg'!X93+'Inndata Bygg'!Y93+'Inndata Bygg'!AA93)*Transport_utslipp_til_avfallshånderting_per_kg+('Inndata Bygg'!Z93*'ZERO-B Beregning'!D192/1000)*IF('ZERO-B Beregning'!F193=0,'ZERO-B Beregning'!D193,'ZERO-B Beregning'!F193))*_xlfn.XLOOKUP(51, År_etter_ferdigstillelse, f_tid_x_f_tek_d_0_01))</f>
        <v>0</v>
      </c>
      <c r="AD90" s="577">
        <f>IF(('Inndata Bygg'!G93+'Inndata Bygg'!O93+'Inndata Bygg'!S93) = 0, 0,1.833*('Inndata Bygg'!G93*('Inndata Bygg'!L93*0.5+'Inndata Bygg'!M93*0.8)+'Inndata Bygg'!O93*'Inndata Bygg'!Q93+'Inndata Bygg'!S93*'Inndata Bygg'!U93)*AG90*_xlfn.XLOOKUP(51, År_etter_ferdigstillelse,  f_tid_x_f_tek_d_0_01))</f>
        <v>0</v>
      </c>
      <c r="AE90" s="575" cm="1">
        <f t="array" ref="AE90">CalculateEmissionsReductionFromReuse('ZERO-B Beregning'!$D$17,'Inndata Bygg'!H93,'Inndata Bygg'!G93,'Inndata Bygg'!Z93,'Inndata Bygg'!X93,'Inndata Bygg'!Y93,F90,'Inndata Bygg'!B93)</f>
        <v>0</v>
      </c>
      <c r="AF90" s="333" cm="1">
        <f t="array" ref="AF90">CalculateEmissionReductionFromRecycling('ZERO-B Beregning'!$D$17,'Inndata Bygg'!H93,'Inndata Bygg'!G93,'Inndata Bygg'!AA93,'Inndata Bygg'!X93,'Inndata Bygg'!Y93,F90,'Inndata Bygg'!B93)</f>
        <v>0</v>
      </c>
      <c r="AG90" s="572">
        <f>IF(('Inndata Bygg'!G93+'Inndata Bygg'!O93+'Inndata Bygg'!S93) = 0, 0,'Inndata Bygg'!X93*Faktorer!$Z$58)</f>
        <v>0</v>
      </c>
      <c r="AH90" s="573">
        <f>IF(('Inndata Bygg'!G93+'Inndata Bygg'!O93+'Inndata Bygg'!S93) = 0, 0,'Inndata Bygg'!Z93+('Inndata Bygg'!X93+'Inndata Bygg'!Y93)*(1-Faktorer!$Z$58)*0.5)</f>
        <v>0</v>
      </c>
      <c r="AI90" s="574">
        <f>IF(('Inndata Bygg'!G93+'Inndata Bygg'!O93+'Inndata Bygg'!S93) = 0, 0,'Inndata Bygg'!AA93+('Inndata Bygg'!X93+'Inndata Bygg'!Y93)*(1-Faktorer!$Z$58)*0.5)</f>
        <v>0</v>
      </c>
      <c r="AJ90" s="634"/>
      <c r="AK90" s="90">
        <f t="shared" si="3"/>
        <v>0</v>
      </c>
      <c r="AL90" s="91">
        <f>'Resultater detaljert Bygg'!N90</f>
        <v>0</v>
      </c>
      <c r="AM90" s="91" t="str">
        <f>IF(F90=0,"",('Inndata Bygg'!E93+'Inndata Bygg'!F93)*ROUNDDOWN('Inndata Bygg'!I93,0)*(1+'Inndata Bygg'!K93))</f>
        <v/>
      </c>
    </row>
    <row r="91" spans="2:39">
      <c r="B91" s="339">
        <f>'Inndata Bygg'!B94</f>
        <v>0</v>
      </c>
      <c r="C91" s="340">
        <f>'Inndata Bygg'!C94</f>
        <v>0</v>
      </c>
      <c r="D91" s="341">
        <f>'Inndata Bygg'!D94</f>
        <v>0</v>
      </c>
      <c r="E91" s="421" cm="1">
        <f t="array" ref="E91">SUM(IFERROR(F91:AD91,0))</f>
        <v>0</v>
      </c>
      <c r="F91" s="330">
        <f>'Inndata Bygg'!E94</f>
        <v>0</v>
      </c>
      <c r="G91" s="330">
        <f>IF('Inndata Bygg'!AB94="Ja", -0.8*'Resultater detaljert Bygg'!F91, 0)</f>
        <v>0</v>
      </c>
      <c r="H91" s="330">
        <f>IF('Inndata Bygg'!AC94="Ja", -0.4*'Resultater detaljert Bygg'!$F91, 0)</f>
        <v>0</v>
      </c>
      <c r="I91" s="330">
        <f>IF('Inndata Bygg'!AD94="Ja", -1*'Resultater detaljert Bygg'!$F91, 0)</f>
        <v>0</v>
      </c>
      <c r="J91" s="330">
        <f>'Inndata Bygg'!O94*'Inndata Bygg'!P94</f>
        <v>0</v>
      </c>
      <c r="K91" s="330">
        <f>MAX(-0.75*(SUM('Resultater detaljert Bygg'!F91:J91)),-'Inndata Bygg'!O94*'Inndata Bygg'!Q94)</f>
        <v>0</v>
      </c>
      <c r="L91" s="330">
        <f>'Inndata Bygg'!S94*'Inndata Bygg'!T94</f>
        <v>0</v>
      </c>
      <c r="M91" s="330">
        <f>MAX(-0.75*(SUM('Resultater detaljert Bygg'!F91:I91,L91)),-'Inndata Bygg'!S94*'Inndata Bygg'!U94)</f>
        <v>0</v>
      </c>
      <c r="N91" s="331">
        <f>'Inndata Bygg'!F94</f>
        <v>0</v>
      </c>
      <c r="O91" s="330">
        <f>'Inndata Bygg'!O94*'Inndata Bygg'!R94</f>
        <v>0</v>
      </c>
      <c r="P91" s="332">
        <f>'Inndata Bygg'!S94*'Inndata Bygg'!V94</f>
        <v>0</v>
      </c>
      <c r="Q91" s="493">
        <f>SUM(F91:J91,L91)*'Inndata Bygg'!K94</f>
        <v>0</v>
      </c>
      <c r="R91" s="333">
        <f>(K91+M91)*'Inndata Bygg'!K94</f>
        <v>0</v>
      </c>
      <c r="S91" s="493">
        <f>N91*'Inndata Bygg'!K94</f>
        <v>0</v>
      </c>
      <c r="T91" s="494">
        <f>'Inndata Bygg'!G94*'Inndata Bygg'!K94*Transport_utslipp_til_avfallshånderting_per_kg</f>
        <v>0</v>
      </c>
      <c r="U91" s="330">
        <f>IF('Inndata Bygg'!E94 = 0, 0, 1.833*'Inndata Bygg'!X94*'Inndata Bygg'!K94*('Inndata Bygg'!G94*('Inndata Bygg'!L94*0.5+'Inndata Bygg'!M94*0.8) + (12/44)*('Inndata Bygg'!O94*'Inndata Bygg'!Q94+'Inndata Bygg'!S94*'Inndata Bygg'!U94)))</f>
        <v>0</v>
      </c>
      <c r="V91" s="335" cm="1">
        <f t="array" ref="V91">CalculateBiogenicCarbonUptake('ZERO-B Beregning'!$D$17,'Inndata Bygg'!H94,'Inndata Bygg'!G94,'Inndata Bygg'!L94,F91,AB91,AC91,AD91)</f>
        <v>0</v>
      </c>
      <c r="W91" s="576" cm="1">
        <f t="array" ref="W91">CalculateCementCarbonUptake('ZERO-B Beregning'!$D$17,'Inndata Bygg'!H94,'Inndata Bygg'!G94,'Inndata Bygg'!N94)</f>
        <v>0</v>
      </c>
      <c r="X91" s="331" cm="1">
        <f t="array" ref="X91">IF(SUM(F91:J91,L91)=0, 0, SUM(F91:J91,L91)*(1+'Inndata Bygg'!K94)*IF('Inndata Bygg'!H94&gt;50, 0, _xlfn.XLOOKUP('Inndata Bygg'!H94, År_etter_ferdigstillelse, IF(VALUE(LEFT('Inndata Bygg'!B94, 2))= 49, f_tid_x_f_tek_d_0_037_kumulativ, f_tid_x_f_tek_d_0_01_kumulativ))))</f>
        <v>0</v>
      </c>
      <c r="Y91" s="330">
        <f>IF(X91=0, 0, SUM(K91,M91)*(1+'Inndata Bygg'!K94)*IF('Inndata Bygg'!H94&gt;50, 0, _xlfn.XLOOKUP('Inndata Bygg'!H94, År_etter_ferdigstillelse, f_tid_x_f_tek_d_0_01_kumulativ)))</f>
        <v>0</v>
      </c>
      <c r="Z91" s="336">
        <f>IF(X91=0, 0, SUM(N91:P91)*(1+'Inndata Bygg'!K94)*IF('Inndata Bygg'!H94&gt;50, 0, _xlfn.XLOOKUP('Inndata Bygg'!H94, År_etter_ferdigstillelse, f_tid_x_f_tek_d_0_01_kumulativ)))</f>
        <v>0</v>
      </c>
      <c r="AA91" s="336">
        <f>IF(X91=0, 0, ('Inndata Bygg'!G94+'Inndata Bygg'!O94+'Inndata Bygg'!S94)*(1+'Inndata Bygg'!K94)*Transport_utslipp_til_avfallshånderting_per_kg*IF('Inndata Bygg'!H94&gt;50, 0, _xlfn.XLOOKUP('Inndata Bygg'!H94, År_etter_ferdigstillelse, f_tid_x_f_tek_d_0_01_kumulativ)))</f>
        <v>0</v>
      </c>
      <c r="AB91" s="580" cm="1">
        <f t="array" ref="AB91">CalculateEmissionsFromIncinerationOfWaste('ZERO-B Beregning'!$D$17,'Inndata Bygg'!H94,'Inndata Bygg'!G94,'Inndata Bygg'!X94,'Inndata Bygg'!L94,'Inndata Bygg'!M94,'Inndata Bygg'!B94)</f>
        <v>0</v>
      </c>
      <c r="AC91" s="335">
        <f>IF(('Inndata Bygg'!G94+'Inndata Bygg'!O94+'Inndata Bygg'!S94) = 0, 0,('Inndata Bygg'!G94+'Inndata Bygg'!O94+'Inndata Bygg'!S94)*(('Inndata Bygg'!X94+'Inndata Bygg'!Y94+'Inndata Bygg'!AA94)*Transport_utslipp_til_avfallshånderting_per_kg+('Inndata Bygg'!Z94*'ZERO-B Beregning'!D193/1000)*IF('ZERO-B Beregning'!F194=0,'ZERO-B Beregning'!D194,'ZERO-B Beregning'!F194))*_xlfn.XLOOKUP(51, År_etter_ferdigstillelse, f_tid_x_f_tek_d_0_01))</f>
        <v>0</v>
      </c>
      <c r="AD91" s="577">
        <f>IF(('Inndata Bygg'!G94+'Inndata Bygg'!O94+'Inndata Bygg'!S94) = 0, 0,1.833*('Inndata Bygg'!G94*('Inndata Bygg'!L94*0.5+'Inndata Bygg'!M94*0.8)+'Inndata Bygg'!O94*'Inndata Bygg'!Q94+'Inndata Bygg'!S94*'Inndata Bygg'!U94)*AG91*_xlfn.XLOOKUP(51, År_etter_ferdigstillelse,  f_tid_x_f_tek_d_0_01))</f>
        <v>0</v>
      </c>
      <c r="AE91" s="575" cm="1">
        <f t="array" ref="AE91">CalculateEmissionsReductionFromReuse('ZERO-B Beregning'!$D$17,'Inndata Bygg'!H94,'Inndata Bygg'!G94,'Inndata Bygg'!Z94,'Inndata Bygg'!X94,'Inndata Bygg'!Y94,F91,'Inndata Bygg'!B94)</f>
        <v>0</v>
      </c>
      <c r="AF91" s="333" cm="1">
        <f t="array" ref="AF91">CalculateEmissionReductionFromRecycling('ZERO-B Beregning'!$D$17,'Inndata Bygg'!H94,'Inndata Bygg'!G94,'Inndata Bygg'!AA94,'Inndata Bygg'!X94,'Inndata Bygg'!Y94,F91,'Inndata Bygg'!B94)</f>
        <v>0</v>
      </c>
      <c r="AG91" s="572">
        <f>IF(('Inndata Bygg'!G94+'Inndata Bygg'!O94+'Inndata Bygg'!S94) = 0, 0,'Inndata Bygg'!X94*Faktorer!$Z$58)</f>
        <v>0</v>
      </c>
      <c r="AH91" s="573">
        <f>IF(('Inndata Bygg'!G94+'Inndata Bygg'!O94+'Inndata Bygg'!S94) = 0, 0,'Inndata Bygg'!Z94+('Inndata Bygg'!X94+'Inndata Bygg'!Y94)*(1-Faktorer!$Z$58)*0.5)</f>
        <v>0</v>
      </c>
      <c r="AI91" s="574">
        <f>IF(('Inndata Bygg'!G94+'Inndata Bygg'!O94+'Inndata Bygg'!S94) = 0, 0,'Inndata Bygg'!AA94+('Inndata Bygg'!X94+'Inndata Bygg'!Y94)*(1-Faktorer!$Z$58)*0.5)</f>
        <v>0</v>
      </c>
      <c r="AJ91" s="634"/>
      <c r="AK91" s="90">
        <f t="shared" si="3"/>
        <v>0</v>
      </c>
      <c r="AL91" s="91">
        <f>'Resultater detaljert Bygg'!N91</f>
        <v>0</v>
      </c>
      <c r="AM91" s="91" t="str">
        <f>IF(F91=0,"",('Inndata Bygg'!E94+'Inndata Bygg'!F94)*ROUNDDOWN('Inndata Bygg'!I94,0)*(1+'Inndata Bygg'!K94))</f>
        <v/>
      </c>
    </row>
    <row r="92" spans="2:39">
      <c r="B92" s="339">
        <f>'Inndata Bygg'!B95</f>
        <v>0</v>
      </c>
      <c r="C92" s="340">
        <f>'Inndata Bygg'!C95</f>
        <v>0</v>
      </c>
      <c r="D92" s="341">
        <f>'Inndata Bygg'!D95</f>
        <v>0</v>
      </c>
      <c r="E92" s="421" cm="1">
        <f t="array" ref="E92">SUM(IFERROR(F92:AD92,0))</f>
        <v>0</v>
      </c>
      <c r="F92" s="330">
        <f>'Inndata Bygg'!E95</f>
        <v>0</v>
      </c>
      <c r="G92" s="330">
        <f>IF('Inndata Bygg'!AB95="Ja", -0.8*'Resultater detaljert Bygg'!F92, 0)</f>
        <v>0</v>
      </c>
      <c r="H92" s="330">
        <f>IF('Inndata Bygg'!AC95="Ja", -0.4*'Resultater detaljert Bygg'!$F92, 0)</f>
        <v>0</v>
      </c>
      <c r="I92" s="330">
        <f>IF('Inndata Bygg'!AD95="Ja", -1*'Resultater detaljert Bygg'!$F92, 0)</f>
        <v>0</v>
      </c>
      <c r="J92" s="330">
        <f>'Inndata Bygg'!O95*'Inndata Bygg'!P95</f>
        <v>0</v>
      </c>
      <c r="K92" s="330">
        <f>MAX(-0.75*(SUM('Resultater detaljert Bygg'!F92:J92)),-'Inndata Bygg'!O95*'Inndata Bygg'!Q95)</f>
        <v>0</v>
      </c>
      <c r="L92" s="330">
        <f>'Inndata Bygg'!S95*'Inndata Bygg'!T95</f>
        <v>0</v>
      </c>
      <c r="M92" s="330">
        <f>MAX(-0.75*(SUM('Resultater detaljert Bygg'!F92:I92,L92)),-'Inndata Bygg'!S95*'Inndata Bygg'!U95)</f>
        <v>0</v>
      </c>
      <c r="N92" s="331">
        <f>'Inndata Bygg'!F95</f>
        <v>0</v>
      </c>
      <c r="O92" s="330">
        <f>'Inndata Bygg'!O95*'Inndata Bygg'!R95</f>
        <v>0</v>
      </c>
      <c r="P92" s="332">
        <f>'Inndata Bygg'!S95*'Inndata Bygg'!V95</f>
        <v>0</v>
      </c>
      <c r="Q92" s="493">
        <f>SUM(F92:J92,L92)*'Inndata Bygg'!K95</f>
        <v>0</v>
      </c>
      <c r="R92" s="333">
        <f>(K92+M92)*'Inndata Bygg'!K95</f>
        <v>0</v>
      </c>
      <c r="S92" s="493">
        <f>N92*'Inndata Bygg'!K95</f>
        <v>0</v>
      </c>
      <c r="T92" s="494">
        <f>'Inndata Bygg'!G95*'Inndata Bygg'!K95*Transport_utslipp_til_avfallshånderting_per_kg</f>
        <v>0</v>
      </c>
      <c r="U92" s="330">
        <f>IF('Inndata Bygg'!E95 = 0, 0, 1.833*'Inndata Bygg'!X95*'Inndata Bygg'!K95*('Inndata Bygg'!G95*('Inndata Bygg'!L95*0.5+'Inndata Bygg'!M95*0.8) + (12/44)*('Inndata Bygg'!O95*'Inndata Bygg'!Q95+'Inndata Bygg'!S95*'Inndata Bygg'!U95)))</f>
        <v>0</v>
      </c>
      <c r="V92" s="335" cm="1">
        <f t="array" ref="V92">CalculateBiogenicCarbonUptake('ZERO-B Beregning'!$D$17,'Inndata Bygg'!H95,'Inndata Bygg'!G95,'Inndata Bygg'!L95,F92,AB92,AC92,AD92)</f>
        <v>0</v>
      </c>
      <c r="W92" s="576" cm="1">
        <f t="array" ref="W92">CalculateCementCarbonUptake('ZERO-B Beregning'!$D$17,'Inndata Bygg'!H95,'Inndata Bygg'!G95,'Inndata Bygg'!N95)</f>
        <v>0</v>
      </c>
      <c r="X92" s="331" cm="1">
        <f t="array" ref="X92">IF(SUM(F92:J92,L92)=0, 0, SUM(F92:J92,L92)*(1+'Inndata Bygg'!K95)*IF('Inndata Bygg'!H95&gt;50, 0, _xlfn.XLOOKUP('Inndata Bygg'!H95, År_etter_ferdigstillelse, IF(VALUE(LEFT('Inndata Bygg'!B95, 2))= 49, f_tid_x_f_tek_d_0_037_kumulativ, f_tid_x_f_tek_d_0_01_kumulativ))))</f>
        <v>0</v>
      </c>
      <c r="Y92" s="330">
        <f>IF(X92=0, 0, SUM(K92,M92)*(1+'Inndata Bygg'!K95)*IF('Inndata Bygg'!H95&gt;50, 0, _xlfn.XLOOKUP('Inndata Bygg'!H95, År_etter_ferdigstillelse, f_tid_x_f_tek_d_0_01_kumulativ)))</f>
        <v>0</v>
      </c>
      <c r="Z92" s="336">
        <f>IF(X92=0, 0, SUM(N92:P92)*(1+'Inndata Bygg'!K95)*IF('Inndata Bygg'!H95&gt;50, 0, _xlfn.XLOOKUP('Inndata Bygg'!H95, År_etter_ferdigstillelse, f_tid_x_f_tek_d_0_01_kumulativ)))</f>
        <v>0</v>
      </c>
      <c r="AA92" s="336">
        <f>IF(X92=0, 0, ('Inndata Bygg'!G95+'Inndata Bygg'!O95+'Inndata Bygg'!S95)*(1+'Inndata Bygg'!K95)*Transport_utslipp_til_avfallshånderting_per_kg*IF('Inndata Bygg'!H95&gt;50, 0, _xlfn.XLOOKUP('Inndata Bygg'!H95, År_etter_ferdigstillelse, f_tid_x_f_tek_d_0_01_kumulativ)))</f>
        <v>0</v>
      </c>
      <c r="AB92" s="580" cm="1">
        <f t="array" ref="AB92">CalculateEmissionsFromIncinerationOfWaste('ZERO-B Beregning'!$D$17,'Inndata Bygg'!H95,'Inndata Bygg'!G95,'Inndata Bygg'!X95,'Inndata Bygg'!L95,'Inndata Bygg'!M95,'Inndata Bygg'!B95)</f>
        <v>0</v>
      </c>
      <c r="AC92" s="335">
        <f>IF(('Inndata Bygg'!G95+'Inndata Bygg'!O95+'Inndata Bygg'!S95) = 0, 0,('Inndata Bygg'!G95+'Inndata Bygg'!O95+'Inndata Bygg'!S95)*(('Inndata Bygg'!X95+'Inndata Bygg'!Y95+'Inndata Bygg'!AA95)*Transport_utslipp_til_avfallshånderting_per_kg+('Inndata Bygg'!Z95*'ZERO-B Beregning'!D194/1000)*IF('ZERO-B Beregning'!F195=0,'ZERO-B Beregning'!D195,'ZERO-B Beregning'!F195))*_xlfn.XLOOKUP(51, År_etter_ferdigstillelse, f_tid_x_f_tek_d_0_01))</f>
        <v>0</v>
      </c>
      <c r="AD92" s="577">
        <f>IF(('Inndata Bygg'!G95+'Inndata Bygg'!O95+'Inndata Bygg'!S95) = 0, 0,1.833*('Inndata Bygg'!G95*('Inndata Bygg'!L95*0.5+'Inndata Bygg'!M95*0.8)+'Inndata Bygg'!O95*'Inndata Bygg'!Q95+'Inndata Bygg'!S95*'Inndata Bygg'!U95)*AG92*_xlfn.XLOOKUP(51, År_etter_ferdigstillelse,  f_tid_x_f_tek_d_0_01))</f>
        <v>0</v>
      </c>
      <c r="AE92" s="575" cm="1">
        <f t="array" ref="AE92">CalculateEmissionsReductionFromReuse('ZERO-B Beregning'!$D$17,'Inndata Bygg'!H95,'Inndata Bygg'!G95,'Inndata Bygg'!Z95,'Inndata Bygg'!X95,'Inndata Bygg'!Y95,F92,'Inndata Bygg'!B95)</f>
        <v>0</v>
      </c>
      <c r="AF92" s="333" cm="1">
        <f t="array" ref="AF92">CalculateEmissionReductionFromRecycling('ZERO-B Beregning'!$D$17,'Inndata Bygg'!H95,'Inndata Bygg'!G95,'Inndata Bygg'!AA95,'Inndata Bygg'!X95,'Inndata Bygg'!Y95,F92,'Inndata Bygg'!B95)</f>
        <v>0</v>
      </c>
      <c r="AG92" s="572">
        <f>IF(('Inndata Bygg'!G95+'Inndata Bygg'!O95+'Inndata Bygg'!S95) = 0, 0,'Inndata Bygg'!X95*Faktorer!$Z$58)</f>
        <v>0</v>
      </c>
      <c r="AH92" s="573">
        <f>IF(('Inndata Bygg'!G95+'Inndata Bygg'!O95+'Inndata Bygg'!S95) = 0, 0,'Inndata Bygg'!Z95+('Inndata Bygg'!X95+'Inndata Bygg'!Y95)*(1-Faktorer!$Z$58)*0.5)</f>
        <v>0</v>
      </c>
      <c r="AI92" s="574">
        <f>IF(('Inndata Bygg'!G95+'Inndata Bygg'!O95+'Inndata Bygg'!S95) = 0, 0,'Inndata Bygg'!AA95+('Inndata Bygg'!X95+'Inndata Bygg'!Y95)*(1-Faktorer!$Z$58)*0.5)</f>
        <v>0</v>
      </c>
      <c r="AJ92" s="634"/>
      <c r="AK92" s="90">
        <f t="shared" si="3"/>
        <v>0</v>
      </c>
      <c r="AL92" s="91">
        <f>'Resultater detaljert Bygg'!N92</f>
        <v>0</v>
      </c>
      <c r="AM92" s="91" t="str">
        <f>IF(F92=0,"",('Inndata Bygg'!E95+'Inndata Bygg'!F95)*ROUNDDOWN('Inndata Bygg'!I95,0)*(1+'Inndata Bygg'!K95))</f>
        <v/>
      </c>
    </row>
    <row r="93" spans="2:39">
      <c r="B93" s="339">
        <f>'Inndata Bygg'!B96</f>
        <v>0</v>
      </c>
      <c r="C93" s="340">
        <f>'Inndata Bygg'!C96</f>
        <v>0</v>
      </c>
      <c r="D93" s="341">
        <f>'Inndata Bygg'!D96</f>
        <v>0</v>
      </c>
      <c r="E93" s="421" cm="1">
        <f t="array" ref="E93">SUM(IFERROR(F93:AD93,0))</f>
        <v>0</v>
      </c>
      <c r="F93" s="330">
        <f>'Inndata Bygg'!E96</f>
        <v>0</v>
      </c>
      <c r="G93" s="330">
        <f>IF('Inndata Bygg'!AB96="Ja", -0.8*'Resultater detaljert Bygg'!F93, 0)</f>
        <v>0</v>
      </c>
      <c r="H93" s="330">
        <f>IF('Inndata Bygg'!AC96="Ja", -0.4*'Resultater detaljert Bygg'!$F93, 0)</f>
        <v>0</v>
      </c>
      <c r="I93" s="330">
        <f>IF('Inndata Bygg'!AD96="Ja", -1*'Resultater detaljert Bygg'!$F93, 0)</f>
        <v>0</v>
      </c>
      <c r="J93" s="330">
        <f>'Inndata Bygg'!O96*'Inndata Bygg'!P96</f>
        <v>0</v>
      </c>
      <c r="K93" s="330">
        <f>MAX(-0.75*(SUM('Resultater detaljert Bygg'!F93:J93)),-'Inndata Bygg'!O96*'Inndata Bygg'!Q96)</f>
        <v>0</v>
      </c>
      <c r="L93" s="330">
        <f>'Inndata Bygg'!S96*'Inndata Bygg'!T96</f>
        <v>0</v>
      </c>
      <c r="M93" s="330">
        <f>MAX(-0.75*(SUM('Resultater detaljert Bygg'!F93:I93,L93)),-'Inndata Bygg'!S96*'Inndata Bygg'!U96)</f>
        <v>0</v>
      </c>
      <c r="N93" s="331">
        <f>'Inndata Bygg'!F96</f>
        <v>0</v>
      </c>
      <c r="O93" s="330">
        <f>'Inndata Bygg'!O96*'Inndata Bygg'!R96</f>
        <v>0</v>
      </c>
      <c r="P93" s="332">
        <f>'Inndata Bygg'!S96*'Inndata Bygg'!V96</f>
        <v>0</v>
      </c>
      <c r="Q93" s="493">
        <f>SUM(F93:J93,L93)*'Inndata Bygg'!K96</f>
        <v>0</v>
      </c>
      <c r="R93" s="333">
        <f>(K93+M93)*'Inndata Bygg'!K96</f>
        <v>0</v>
      </c>
      <c r="S93" s="493">
        <f>N93*'Inndata Bygg'!K96</f>
        <v>0</v>
      </c>
      <c r="T93" s="494">
        <f>'Inndata Bygg'!G96*'Inndata Bygg'!K96*Transport_utslipp_til_avfallshånderting_per_kg</f>
        <v>0</v>
      </c>
      <c r="U93" s="330">
        <f>IF('Inndata Bygg'!E96 = 0, 0, 1.833*'Inndata Bygg'!X96*'Inndata Bygg'!K96*('Inndata Bygg'!G96*('Inndata Bygg'!L96*0.5+'Inndata Bygg'!M96*0.8) + (12/44)*('Inndata Bygg'!O96*'Inndata Bygg'!Q96+'Inndata Bygg'!S96*'Inndata Bygg'!U96)))</f>
        <v>0</v>
      </c>
      <c r="V93" s="335" cm="1">
        <f t="array" ref="V93">CalculateBiogenicCarbonUptake('ZERO-B Beregning'!$D$17,'Inndata Bygg'!H96,'Inndata Bygg'!G96,'Inndata Bygg'!L96,F93,AB93,AC93,AD93)</f>
        <v>0</v>
      </c>
      <c r="W93" s="576" cm="1">
        <f t="array" ref="W93">CalculateCementCarbonUptake('ZERO-B Beregning'!$D$17,'Inndata Bygg'!H96,'Inndata Bygg'!G96,'Inndata Bygg'!N96)</f>
        <v>0</v>
      </c>
      <c r="X93" s="331" cm="1">
        <f t="array" ref="X93">IF(SUM(F93:J93,L93)=0, 0, SUM(F93:J93,L93)*(1+'Inndata Bygg'!K96)*IF('Inndata Bygg'!H96&gt;50, 0, _xlfn.XLOOKUP('Inndata Bygg'!H96, År_etter_ferdigstillelse, IF(VALUE(LEFT('Inndata Bygg'!B96, 2))= 49, f_tid_x_f_tek_d_0_037_kumulativ, f_tid_x_f_tek_d_0_01_kumulativ))))</f>
        <v>0</v>
      </c>
      <c r="Y93" s="330">
        <f>IF(X93=0, 0, SUM(K93,M93)*(1+'Inndata Bygg'!K96)*IF('Inndata Bygg'!H96&gt;50, 0, _xlfn.XLOOKUP('Inndata Bygg'!H96, År_etter_ferdigstillelse, f_tid_x_f_tek_d_0_01_kumulativ)))</f>
        <v>0</v>
      </c>
      <c r="Z93" s="336">
        <f>IF(X93=0, 0, SUM(N93:P93)*(1+'Inndata Bygg'!K96)*IF('Inndata Bygg'!H96&gt;50, 0, _xlfn.XLOOKUP('Inndata Bygg'!H96, År_etter_ferdigstillelse, f_tid_x_f_tek_d_0_01_kumulativ)))</f>
        <v>0</v>
      </c>
      <c r="AA93" s="336">
        <f>IF(X93=0, 0, ('Inndata Bygg'!G96+'Inndata Bygg'!O96+'Inndata Bygg'!S96)*(1+'Inndata Bygg'!K96)*Transport_utslipp_til_avfallshånderting_per_kg*IF('Inndata Bygg'!H96&gt;50, 0, _xlfn.XLOOKUP('Inndata Bygg'!H96, År_etter_ferdigstillelse, f_tid_x_f_tek_d_0_01_kumulativ)))</f>
        <v>0</v>
      </c>
      <c r="AB93" s="580" cm="1">
        <f t="array" ref="AB93">CalculateEmissionsFromIncinerationOfWaste('ZERO-B Beregning'!$D$17,'Inndata Bygg'!H96,'Inndata Bygg'!G96,'Inndata Bygg'!X96,'Inndata Bygg'!L96,'Inndata Bygg'!M96,'Inndata Bygg'!B96)</f>
        <v>0</v>
      </c>
      <c r="AC93" s="335">
        <f>IF(('Inndata Bygg'!G96+'Inndata Bygg'!O96+'Inndata Bygg'!S96) = 0, 0,('Inndata Bygg'!G96+'Inndata Bygg'!O96+'Inndata Bygg'!S96)*(('Inndata Bygg'!X96+'Inndata Bygg'!Y96+'Inndata Bygg'!AA96)*Transport_utslipp_til_avfallshånderting_per_kg+('Inndata Bygg'!Z96*'ZERO-B Beregning'!D195/1000)*IF('ZERO-B Beregning'!F196=0,'ZERO-B Beregning'!D196,'ZERO-B Beregning'!F196))*_xlfn.XLOOKUP(51, År_etter_ferdigstillelse, f_tid_x_f_tek_d_0_01))</f>
        <v>0</v>
      </c>
      <c r="AD93" s="577">
        <f>IF(('Inndata Bygg'!G96+'Inndata Bygg'!O96+'Inndata Bygg'!S96) = 0, 0,1.833*('Inndata Bygg'!G96*('Inndata Bygg'!L96*0.5+'Inndata Bygg'!M96*0.8)+'Inndata Bygg'!O96*'Inndata Bygg'!Q96+'Inndata Bygg'!S96*'Inndata Bygg'!U96)*AG93*_xlfn.XLOOKUP(51, År_etter_ferdigstillelse,  f_tid_x_f_tek_d_0_01))</f>
        <v>0</v>
      </c>
      <c r="AE93" s="575" cm="1">
        <f t="array" ref="AE93">CalculateEmissionsReductionFromReuse('ZERO-B Beregning'!$D$17,'Inndata Bygg'!H96,'Inndata Bygg'!G96,'Inndata Bygg'!Z96,'Inndata Bygg'!X96,'Inndata Bygg'!Y96,F93,'Inndata Bygg'!B96)</f>
        <v>0</v>
      </c>
      <c r="AF93" s="333" cm="1">
        <f t="array" ref="AF93">CalculateEmissionReductionFromRecycling('ZERO-B Beregning'!$D$17,'Inndata Bygg'!H96,'Inndata Bygg'!G96,'Inndata Bygg'!AA96,'Inndata Bygg'!X96,'Inndata Bygg'!Y96,F93,'Inndata Bygg'!B96)</f>
        <v>0</v>
      </c>
      <c r="AG93" s="572">
        <f>IF(('Inndata Bygg'!G96+'Inndata Bygg'!O96+'Inndata Bygg'!S96) = 0, 0,'Inndata Bygg'!X96*Faktorer!$Z$58)</f>
        <v>0</v>
      </c>
      <c r="AH93" s="573">
        <f>IF(('Inndata Bygg'!G96+'Inndata Bygg'!O96+'Inndata Bygg'!S96) = 0, 0,'Inndata Bygg'!Z96+('Inndata Bygg'!X96+'Inndata Bygg'!Y96)*(1-Faktorer!$Z$58)*0.5)</f>
        <v>0</v>
      </c>
      <c r="AI93" s="574">
        <f>IF(('Inndata Bygg'!G96+'Inndata Bygg'!O96+'Inndata Bygg'!S96) = 0, 0,'Inndata Bygg'!AA96+('Inndata Bygg'!X96+'Inndata Bygg'!Y96)*(1-Faktorer!$Z$58)*0.5)</f>
        <v>0</v>
      </c>
      <c r="AJ93" s="634"/>
      <c r="AK93" s="90">
        <f t="shared" si="3"/>
        <v>0</v>
      </c>
      <c r="AL93" s="91">
        <f>'Resultater detaljert Bygg'!N93</f>
        <v>0</v>
      </c>
      <c r="AM93" s="91" t="str">
        <f>IF(F93=0,"",('Inndata Bygg'!E96+'Inndata Bygg'!F96)*ROUNDDOWN('Inndata Bygg'!I96,0)*(1+'Inndata Bygg'!K96))</f>
        <v/>
      </c>
    </row>
    <row r="94" spans="2:39">
      <c r="B94" s="339">
        <f>'Inndata Bygg'!B97</f>
        <v>0</v>
      </c>
      <c r="C94" s="340">
        <f>'Inndata Bygg'!C97</f>
        <v>0</v>
      </c>
      <c r="D94" s="341">
        <f>'Inndata Bygg'!D97</f>
        <v>0</v>
      </c>
      <c r="E94" s="421" cm="1">
        <f t="array" ref="E94">SUM(IFERROR(F94:AD94,0))</f>
        <v>0</v>
      </c>
      <c r="F94" s="330">
        <f>'Inndata Bygg'!E97</f>
        <v>0</v>
      </c>
      <c r="G94" s="330">
        <f>IF('Inndata Bygg'!AB97="Ja", -0.8*'Resultater detaljert Bygg'!F94, 0)</f>
        <v>0</v>
      </c>
      <c r="H94" s="330">
        <f>IF('Inndata Bygg'!AC97="Ja", -0.4*'Resultater detaljert Bygg'!$F94, 0)</f>
        <v>0</v>
      </c>
      <c r="I94" s="330">
        <f>IF('Inndata Bygg'!AD97="Ja", -1*'Resultater detaljert Bygg'!$F94, 0)</f>
        <v>0</v>
      </c>
      <c r="J94" s="330">
        <f>'Inndata Bygg'!O97*'Inndata Bygg'!P97</f>
        <v>0</v>
      </c>
      <c r="K94" s="330">
        <f>MAX(-0.75*(SUM('Resultater detaljert Bygg'!F94:J94)),-'Inndata Bygg'!O97*'Inndata Bygg'!Q97)</f>
        <v>0</v>
      </c>
      <c r="L94" s="330">
        <f>'Inndata Bygg'!S97*'Inndata Bygg'!T97</f>
        <v>0</v>
      </c>
      <c r="M94" s="330">
        <f>MAX(-0.75*(SUM('Resultater detaljert Bygg'!F94:I94,L94)),-'Inndata Bygg'!S97*'Inndata Bygg'!U97)</f>
        <v>0</v>
      </c>
      <c r="N94" s="331">
        <f>'Inndata Bygg'!F97</f>
        <v>0</v>
      </c>
      <c r="O94" s="330">
        <f>'Inndata Bygg'!O97*'Inndata Bygg'!R97</f>
        <v>0</v>
      </c>
      <c r="P94" s="332">
        <f>'Inndata Bygg'!S97*'Inndata Bygg'!V97</f>
        <v>0</v>
      </c>
      <c r="Q94" s="493">
        <f>SUM(F94:J94,L94)*'Inndata Bygg'!K97</f>
        <v>0</v>
      </c>
      <c r="R94" s="333">
        <f>(K94+M94)*'Inndata Bygg'!K97</f>
        <v>0</v>
      </c>
      <c r="S94" s="493">
        <f>N94*'Inndata Bygg'!K97</f>
        <v>0</v>
      </c>
      <c r="T94" s="494">
        <f>'Inndata Bygg'!G97*'Inndata Bygg'!K97*Transport_utslipp_til_avfallshånderting_per_kg</f>
        <v>0</v>
      </c>
      <c r="U94" s="330">
        <f>IF('Inndata Bygg'!E97 = 0, 0, 1.833*'Inndata Bygg'!X97*'Inndata Bygg'!K97*('Inndata Bygg'!G97*('Inndata Bygg'!L97*0.5+'Inndata Bygg'!M97*0.8) + (12/44)*('Inndata Bygg'!O97*'Inndata Bygg'!Q97+'Inndata Bygg'!S97*'Inndata Bygg'!U97)))</f>
        <v>0</v>
      </c>
      <c r="V94" s="335" cm="1">
        <f t="array" ref="V94">CalculateBiogenicCarbonUptake('ZERO-B Beregning'!$D$17,'Inndata Bygg'!H97,'Inndata Bygg'!G97,'Inndata Bygg'!L97,F94,AB94,AC94,AD94)</f>
        <v>0</v>
      </c>
      <c r="W94" s="576" cm="1">
        <f t="array" ref="W94">CalculateCementCarbonUptake('ZERO-B Beregning'!$D$17,'Inndata Bygg'!H97,'Inndata Bygg'!G97,'Inndata Bygg'!N97)</f>
        <v>0</v>
      </c>
      <c r="X94" s="331" cm="1">
        <f t="array" ref="X94">IF(SUM(F94:J94,L94)=0, 0, SUM(F94:J94,L94)*(1+'Inndata Bygg'!K97)*IF('Inndata Bygg'!H97&gt;50, 0, _xlfn.XLOOKUP('Inndata Bygg'!H97, År_etter_ferdigstillelse, IF(VALUE(LEFT('Inndata Bygg'!B97, 2))= 49, f_tid_x_f_tek_d_0_037_kumulativ, f_tid_x_f_tek_d_0_01_kumulativ))))</f>
        <v>0</v>
      </c>
      <c r="Y94" s="330">
        <f>IF(X94=0, 0, SUM(K94,M94)*(1+'Inndata Bygg'!K97)*IF('Inndata Bygg'!H97&gt;50, 0, _xlfn.XLOOKUP('Inndata Bygg'!H97, År_etter_ferdigstillelse, f_tid_x_f_tek_d_0_01_kumulativ)))</f>
        <v>0</v>
      </c>
      <c r="Z94" s="336">
        <f>IF(X94=0, 0, SUM(N94:P94)*(1+'Inndata Bygg'!K97)*IF('Inndata Bygg'!H97&gt;50, 0, _xlfn.XLOOKUP('Inndata Bygg'!H97, År_etter_ferdigstillelse, f_tid_x_f_tek_d_0_01_kumulativ)))</f>
        <v>0</v>
      </c>
      <c r="AA94" s="336">
        <f>IF(X94=0, 0, ('Inndata Bygg'!G97+'Inndata Bygg'!O97+'Inndata Bygg'!S97)*(1+'Inndata Bygg'!K97)*Transport_utslipp_til_avfallshånderting_per_kg*IF('Inndata Bygg'!H97&gt;50, 0, _xlfn.XLOOKUP('Inndata Bygg'!H97, År_etter_ferdigstillelse, f_tid_x_f_tek_d_0_01_kumulativ)))</f>
        <v>0</v>
      </c>
      <c r="AB94" s="580" cm="1">
        <f t="array" ref="AB94">CalculateEmissionsFromIncinerationOfWaste('ZERO-B Beregning'!$D$17,'Inndata Bygg'!H97,'Inndata Bygg'!G97,'Inndata Bygg'!X97,'Inndata Bygg'!L97,'Inndata Bygg'!M97,'Inndata Bygg'!B97)</f>
        <v>0</v>
      </c>
      <c r="AC94" s="335">
        <f>IF(('Inndata Bygg'!G97+'Inndata Bygg'!O97+'Inndata Bygg'!S97) = 0, 0,('Inndata Bygg'!G97+'Inndata Bygg'!O97+'Inndata Bygg'!S97)*(('Inndata Bygg'!X97+'Inndata Bygg'!Y97+'Inndata Bygg'!AA97)*Transport_utslipp_til_avfallshånderting_per_kg+('Inndata Bygg'!Z97*'ZERO-B Beregning'!D196/1000)*IF('ZERO-B Beregning'!F197=0,'ZERO-B Beregning'!D197,'ZERO-B Beregning'!F197))*_xlfn.XLOOKUP(51, År_etter_ferdigstillelse, f_tid_x_f_tek_d_0_01))</f>
        <v>0</v>
      </c>
      <c r="AD94" s="577">
        <f>IF(('Inndata Bygg'!G97+'Inndata Bygg'!O97+'Inndata Bygg'!S97) = 0, 0,1.833*('Inndata Bygg'!G97*('Inndata Bygg'!L97*0.5+'Inndata Bygg'!M97*0.8)+'Inndata Bygg'!O97*'Inndata Bygg'!Q97+'Inndata Bygg'!S97*'Inndata Bygg'!U97)*AG94*_xlfn.XLOOKUP(51, År_etter_ferdigstillelse,  f_tid_x_f_tek_d_0_01))</f>
        <v>0</v>
      </c>
      <c r="AE94" s="575" cm="1">
        <f t="array" ref="AE94">CalculateEmissionsReductionFromReuse('ZERO-B Beregning'!$D$17,'Inndata Bygg'!H97,'Inndata Bygg'!G97,'Inndata Bygg'!Z97,'Inndata Bygg'!X97,'Inndata Bygg'!Y97,F94,'Inndata Bygg'!B97)</f>
        <v>0</v>
      </c>
      <c r="AF94" s="333" cm="1">
        <f t="array" ref="AF94">CalculateEmissionReductionFromRecycling('ZERO-B Beregning'!$D$17,'Inndata Bygg'!H97,'Inndata Bygg'!G97,'Inndata Bygg'!AA97,'Inndata Bygg'!X97,'Inndata Bygg'!Y97,F94,'Inndata Bygg'!B97)</f>
        <v>0</v>
      </c>
      <c r="AG94" s="572">
        <f>IF(('Inndata Bygg'!G97+'Inndata Bygg'!O97+'Inndata Bygg'!S97) = 0, 0,'Inndata Bygg'!X97*Faktorer!$Z$58)</f>
        <v>0</v>
      </c>
      <c r="AH94" s="573">
        <f>IF(('Inndata Bygg'!G97+'Inndata Bygg'!O97+'Inndata Bygg'!S97) = 0, 0,'Inndata Bygg'!Z97+('Inndata Bygg'!X97+'Inndata Bygg'!Y97)*(1-Faktorer!$Z$58)*0.5)</f>
        <v>0</v>
      </c>
      <c r="AI94" s="574">
        <f>IF(('Inndata Bygg'!G97+'Inndata Bygg'!O97+'Inndata Bygg'!S97) = 0, 0,'Inndata Bygg'!AA97+('Inndata Bygg'!X97+'Inndata Bygg'!Y97)*(1-Faktorer!$Z$58)*0.5)</f>
        <v>0</v>
      </c>
      <c r="AJ94" s="634"/>
      <c r="AK94" s="90">
        <f t="shared" si="3"/>
        <v>0</v>
      </c>
      <c r="AL94" s="91">
        <f>'Resultater detaljert Bygg'!N94</f>
        <v>0</v>
      </c>
      <c r="AM94" s="91" t="str">
        <f>IF(F94=0,"",('Inndata Bygg'!E97+'Inndata Bygg'!F97)*ROUNDDOWN('Inndata Bygg'!I97,0)*(1+'Inndata Bygg'!K97))</f>
        <v/>
      </c>
    </row>
    <row r="95" spans="2:39">
      <c r="B95" s="339">
        <f>'Inndata Bygg'!B98</f>
        <v>0</v>
      </c>
      <c r="C95" s="340">
        <f>'Inndata Bygg'!C98</f>
        <v>0</v>
      </c>
      <c r="D95" s="341">
        <f>'Inndata Bygg'!D98</f>
        <v>0</v>
      </c>
      <c r="E95" s="421" cm="1">
        <f t="array" ref="E95">SUM(IFERROR(F95:AD95,0))</f>
        <v>0</v>
      </c>
      <c r="F95" s="330">
        <f>'Inndata Bygg'!E98</f>
        <v>0</v>
      </c>
      <c r="G95" s="330">
        <f>IF('Inndata Bygg'!AB98="Ja", -0.8*'Resultater detaljert Bygg'!F95, 0)</f>
        <v>0</v>
      </c>
      <c r="H95" s="330">
        <f>IF('Inndata Bygg'!AC98="Ja", -0.4*'Resultater detaljert Bygg'!$F95, 0)</f>
        <v>0</v>
      </c>
      <c r="I95" s="330">
        <f>IF('Inndata Bygg'!AD98="Ja", -1*'Resultater detaljert Bygg'!$F95, 0)</f>
        <v>0</v>
      </c>
      <c r="J95" s="330">
        <f>'Inndata Bygg'!O98*'Inndata Bygg'!P98</f>
        <v>0</v>
      </c>
      <c r="K95" s="330">
        <f>MAX(-0.75*(SUM('Resultater detaljert Bygg'!F95:J95)),-'Inndata Bygg'!O98*'Inndata Bygg'!Q98)</f>
        <v>0</v>
      </c>
      <c r="L95" s="330">
        <f>'Inndata Bygg'!S98*'Inndata Bygg'!T98</f>
        <v>0</v>
      </c>
      <c r="M95" s="330">
        <f>MAX(-0.75*(SUM('Resultater detaljert Bygg'!F95:I95,L95)),-'Inndata Bygg'!S98*'Inndata Bygg'!U98)</f>
        <v>0</v>
      </c>
      <c r="N95" s="331">
        <f>'Inndata Bygg'!F98</f>
        <v>0</v>
      </c>
      <c r="O95" s="330">
        <f>'Inndata Bygg'!O98*'Inndata Bygg'!R98</f>
        <v>0</v>
      </c>
      <c r="P95" s="332">
        <f>'Inndata Bygg'!S98*'Inndata Bygg'!V98</f>
        <v>0</v>
      </c>
      <c r="Q95" s="493">
        <f>SUM(F95:J95,L95)*'Inndata Bygg'!K98</f>
        <v>0</v>
      </c>
      <c r="R95" s="333">
        <f>(K95+M95)*'Inndata Bygg'!K98</f>
        <v>0</v>
      </c>
      <c r="S95" s="493">
        <f>N95*'Inndata Bygg'!K98</f>
        <v>0</v>
      </c>
      <c r="T95" s="494">
        <f>'Inndata Bygg'!G98*'Inndata Bygg'!K98*Transport_utslipp_til_avfallshånderting_per_kg</f>
        <v>0</v>
      </c>
      <c r="U95" s="330">
        <f>IF('Inndata Bygg'!E98 = 0, 0, 1.833*'Inndata Bygg'!X98*'Inndata Bygg'!K98*('Inndata Bygg'!G98*('Inndata Bygg'!L98*0.5+'Inndata Bygg'!M98*0.8) + (12/44)*('Inndata Bygg'!O98*'Inndata Bygg'!Q98+'Inndata Bygg'!S98*'Inndata Bygg'!U98)))</f>
        <v>0</v>
      </c>
      <c r="V95" s="335" cm="1">
        <f t="array" ref="V95">CalculateBiogenicCarbonUptake('ZERO-B Beregning'!$D$17,'Inndata Bygg'!H98,'Inndata Bygg'!G98,'Inndata Bygg'!L98,F95,AB95,AC95,AD95)</f>
        <v>0</v>
      </c>
      <c r="W95" s="576" cm="1">
        <f t="array" ref="W95">CalculateCementCarbonUptake('ZERO-B Beregning'!$D$17,'Inndata Bygg'!H98,'Inndata Bygg'!G98,'Inndata Bygg'!N98)</f>
        <v>0</v>
      </c>
      <c r="X95" s="331" cm="1">
        <f t="array" ref="X95">IF(SUM(F95:J95,L95)=0, 0, SUM(F95:J95,L95)*(1+'Inndata Bygg'!K98)*IF('Inndata Bygg'!H98&gt;50, 0, _xlfn.XLOOKUP('Inndata Bygg'!H98, År_etter_ferdigstillelse, IF(VALUE(LEFT('Inndata Bygg'!B98, 2))= 49, f_tid_x_f_tek_d_0_037_kumulativ, f_tid_x_f_tek_d_0_01_kumulativ))))</f>
        <v>0</v>
      </c>
      <c r="Y95" s="330">
        <f>IF(X95=0, 0, SUM(K95,M95)*(1+'Inndata Bygg'!K98)*IF('Inndata Bygg'!H98&gt;50, 0, _xlfn.XLOOKUP('Inndata Bygg'!H98, År_etter_ferdigstillelse, f_tid_x_f_tek_d_0_01_kumulativ)))</f>
        <v>0</v>
      </c>
      <c r="Z95" s="336">
        <f>IF(X95=0, 0, SUM(N95:P95)*(1+'Inndata Bygg'!K98)*IF('Inndata Bygg'!H98&gt;50, 0, _xlfn.XLOOKUP('Inndata Bygg'!H98, År_etter_ferdigstillelse, f_tid_x_f_tek_d_0_01_kumulativ)))</f>
        <v>0</v>
      </c>
      <c r="AA95" s="336">
        <f>IF(X95=0, 0, ('Inndata Bygg'!G98+'Inndata Bygg'!O98+'Inndata Bygg'!S98)*(1+'Inndata Bygg'!K98)*Transport_utslipp_til_avfallshånderting_per_kg*IF('Inndata Bygg'!H98&gt;50, 0, _xlfn.XLOOKUP('Inndata Bygg'!H98, År_etter_ferdigstillelse, f_tid_x_f_tek_d_0_01_kumulativ)))</f>
        <v>0</v>
      </c>
      <c r="AB95" s="580" cm="1">
        <f t="array" ref="AB95">CalculateEmissionsFromIncinerationOfWaste('ZERO-B Beregning'!$D$17,'Inndata Bygg'!H98,'Inndata Bygg'!G98,'Inndata Bygg'!X98,'Inndata Bygg'!L98,'Inndata Bygg'!M98,'Inndata Bygg'!B98)</f>
        <v>0</v>
      </c>
      <c r="AC95" s="335">
        <f>IF(('Inndata Bygg'!G98+'Inndata Bygg'!O98+'Inndata Bygg'!S98) = 0, 0,('Inndata Bygg'!G98+'Inndata Bygg'!O98+'Inndata Bygg'!S98)*(('Inndata Bygg'!X98+'Inndata Bygg'!Y98+'Inndata Bygg'!AA98)*Transport_utslipp_til_avfallshånderting_per_kg+('Inndata Bygg'!Z98*'ZERO-B Beregning'!D197/1000)*IF('ZERO-B Beregning'!F198=0,'ZERO-B Beregning'!D198,'ZERO-B Beregning'!F198))*_xlfn.XLOOKUP(51, År_etter_ferdigstillelse, f_tid_x_f_tek_d_0_01))</f>
        <v>0</v>
      </c>
      <c r="AD95" s="577">
        <f>IF(('Inndata Bygg'!G98+'Inndata Bygg'!O98+'Inndata Bygg'!S98) = 0, 0,1.833*('Inndata Bygg'!G98*('Inndata Bygg'!L98*0.5+'Inndata Bygg'!M98*0.8)+'Inndata Bygg'!O98*'Inndata Bygg'!Q98+'Inndata Bygg'!S98*'Inndata Bygg'!U98)*AG95*_xlfn.XLOOKUP(51, År_etter_ferdigstillelse,  f_tid_x_f_tek_d_0_01))</f>
        <v>0</v>
      </c>
      <c r="AE95" s="575" cm="1">
        <f t="array" ref="AE95">CalculateEmissionsReductionFromReuse('ZERO-B Beregning'!$D$17,'Inndata Bygg'!H98,'Inndata Bygg'!G98,'Inndata Bygg'!Z98,'Inndata Bygg'!X98,'Inndata Bygg'!Y98,F95,'Inndata Bygg'!B98)</f>
        <v>0</v>
      </c>
      <c r="AF95" s="333" cm="1">
        <f t="array" ref="AF95">CalculateEmissionReductionFromRecycling('ZERO-B Beregning'!$D$17,'Inndata Bygg'!H98,'Inndata Bygg'!G98,'Inndata Bygg'!AA98,'Inndata Bygg'!X98,'Inndata Bygg'!Y98,F95,'Inndata Bygg'!B98)</f>
        <v>0</v>
      </c>
      <c r="AG95" s="572">
        <f>IF(('Inndata Bygg'!G98+'Inndata Bygg'!O98+'Inndata Bygg'!S98) = 0, 0,'Inndata Bygg'!X98*Faktorer!$Z$58)</f>
        <v>0</v>
      </c>
      <c r="AH95" s="573">
        <f>IF(('Inndata Bygg'!G98+'Inndata Bygg'!O98+'Inndata Bygg'!S98) = 0, 0,'Inndata Bygg'!Z98+('Inndata Bygg'!X98+'Inndata Bygg'!Y98)*(1-Faktorer!$Z$58)*0.5)</f>
        <v>0</v>
      </c>
      <c r="AI95" s="574">
        <f>IF(('Inndata Bygg'!G98+'Inndata Bygg'!O98+'Inndata Bygg'!S98) = 0, 0,'Inndata Bygg'!AA98+('Inndata Bygg'!X98+'Inndata Bygg'!Y98)*(1-Faktorer!$Z$58)*0.5)</f>
        <v>0</v>
      </c>
      <c r="AJ95" s="634"/>
      <c r="AK95" s="90">
        <f t="shared" si="3"/>
        <v>0</v>
      </c>
      <c r="AL95" s="91">
        <f>'Resultater detaljert Bygg'!N95</f>
        <v>0</v>
      </c>
      <c r="AM95" s="91" t="str">
        <f>IF(F95=0,"",('Inndata Bygg'!E98+'Inndata Bygg'!F98)*ROUNDDOWN('Inndata Bygg'!I98,0)*(1+'Inndata Bygg'!K98))</f>
        <v/>
      </c>
    </row>
    <row r="96" spans="2:39">
      <c r="B96" s="339">
        <f>'Inndata Bygg'!B99</f>
        <v>0</v>
      </c>
      <c r="C96" s="340">
        <f>'Inndata Bygg'!C99</f>
        <v>0</v>
      </c>
      <c r="D96" s="341">
        <f>'Inndata Bygg'!D99</f>
        <v>0</v>
      </c>
      <c r="E96" s="421" cm="1">
        <f t="array" ref="E96">SUM(IFERROR(F96:AD96,0))</f>
        <v>0</v>
      </c>
      <c r="F96" s="330">
        <f>'Inndata Bygg'!E99</f>
        <v>0</v>
      </c>
      <c r="G96" s="330">
        <f>IF('Inndata Bygg'!AB99="Ja", -0.8*'Resultater detaljert Bygg'!F96, 0)</f>
        <v>0</v>
      </c>
      <c r="H96" s="330">
        <f>IF('Inndata Bygg'!AC99="Ja", -0.4*'Resultater detaljert Bygg'!$F96, 0)</f>
        <v>0</v>
      </c>
      <c r="I96" s="330">
        <f>IF('Inndata Bygg'!AD99="Ja", -1*'Resultater detaljert Bygg'!$F96, 0)</f>
        <v>0</v>
      </c>
      <c r="J96" s="330">
        <f>'Inndata Bygg'!O99*'Inndata Bygg'!P99</f>
        <v>0</v>
      </c>
      <c r="K96" s="330">
        <f>MAX(-0.75*(SUM('Resultater detaljert Bygg'!F96:J96)),-'Inndata Bygg'!O99*'Inndata Bygg'!Q99)</f>
        <v>0</v>
      </c>
      <c r="L96" s="330">
        <f>'Inndata Bygg'!S99*'Inndata Bygg'!T99</f>
        <v>0</v>
      </c>
      <c r="M96" s="330">
        <f>MAX(-0.75*(SUM('Resultater detaljert Bygg'!F96:I96,L96)),-'Inndata Bygg'!S99*'Inndata Bygg'!U99)</f>
        <v>0</v>
      </c>
      <c r="N96" s="331">
        <f>'Inndata Bygg'!F99</f>
        <v>0</v>
      </c>
      <c r="O96" s="330">
        <f>'Inndata Bygg'!O99*'Inndata Bygg'!R99</f>
        <v>0</v>
      </c>
      <c r="P96" s="332">
        <f>'Inndata Bygg'!S99*'Inndata Bygg'!V99</f>
        <v>0</v>
      </c>
      <c r="Q96" s="493">
        <f>SUM(F96:J96,L96)*'Inndata Bygg'!K99</f>
        <v>0</v>
      </c>
      <c r="R96" s="333">
        <f>(K96+M96)*'Inndata Bygg'!K99</f>
        <v>0</v>
      </c>
      <c r="S96" s="493">
        <f>N96*'Inndata Bygg'!K99</f>
        <v>0</v>
      </c>
      <c r="T96" s="494">
        <f>'Inndata Bygg'!G99*'Inndata Bygg'!K99*Transport_utslipp_til_avfallshånderting_per_kg</f>
        <v>0</v>
      </c>
      <c r="U96" s="330">
        <f>IF('Inndata Bygg'!E99 = 0, 0, 1.833*'Inndata Bygg'!X99*'Inndata Bygg'!K99*('Inndata Bygg'!G99*('Inndata Bygg'!L99*0.5+'Inndata Bygg'!M99*0.8) + (12/44)*('Inndata Bygg'!O99*'Inndata Bygg'!Q99+'Inndata Bygg'!S99*'Inndata Bygg'!U99)))</f>
        <v>0</v>
      </c>
      <c r="V96" s="335" cm="1">
        <f t="array" ref="V96">CalculateBiogenicCarbonUptake('ZERO-B Beregning'!$D$17,'Inndata Bygg'!H99,'Inndata Bygg'!G99,'Inndata Bygg'!L99,F96,AB96,AC96,AD96)</f>
        <v>0</v>
      </c>
      <c r="W96" s="576" cm="1">
        <f t="array" ref="W96">CalculateCementCarbonUptake('ZERO-B Beregning'!$D$17,'Inndata Bygg'!H99,'Inndata Bygg'!G99,'Inndata Bygg'!N99)</f>
        <v>0</v>
      </c>
      <c r="X96" s="331" cm="1">
        <f t="array" ref="X96">IF(SUM(F96:J96,L96)=0, 0, SUM(F96:J96,L96)*(1+'Inndata Bygg'!K99)*IF('Inndata Bygg'!H99&gt;50, 0, _xlfn.XLOOKUP('Inndata Bygg'!H99, År_etter_ferdigstillelse, IF(VALUE(LEFT('Inndata Bygg'!B99, 2))= 49, f_tid_x_f_tek_d_0_037_kumulativ, f_tid_x_f_tek_d_0_01_kumulativ))))</f>
        <v>0</v>
      </c>
      <c r="Y96" s="330">
        <f>IF(X96=0, 0, SUM(K96,M96)*(1+'Inndata Bygg'!K99)*IF('Inndata Bygg'!H99&gt;50, 0, _xlfn.XLOOKUP('Inndata Bygg'!H99, År_etter_ferdigstillelse, f_tid_x_f_tek_d_0_01_kumulativ)))</f>
        <v>0</v>
      </c>
      <c r="Z96" s="336">
        <f>IF(X96=0, 0, SUM(N96:P96)*(1+'Inndata Bygg'!K99)*IF('Inndata Bygg'!H99&gt;50, 0, _xlfn.XLOOKUP('Inndata Bygg'!H99, År_etter_ferdigstillelse, f_tid_x_f_tek_d_0_01_kumulativ)))</f>
        <v>0</v>
      </c>
      <c r="AA96" s="336">
        <f>IF(X96=0, 0, ('Inndata Bygg'!G99+'Inndata Bygg'!O99+'Inndata Bygg'!S99)*(1+'Inndata Bygg'!K99)*Transport_utslipp_til_avfallshånderting_per_kg*IF('Inndata Bygg'!H99&gt;50, 0, _xlfn.XLOOKUP('Inndata Bygg'!H99, År_etter_ferdigstillelse, f_tid_x_f_tek_d_0_01_kumulativ)))</f>
        <v>0</v>
      </c>
      <c r="AB96" s="580" cm="1">
        <f t="array" ref="AB96">CalculateEmissionsFromIncinerationOfWaste('ZERO-B Beregning'!$D$17,'Inndata Bygg'!H99,'Inndata Bygg'!G99,'Inndata Bygg'!X99,'Inndata Bygg'!L99,'Inndata Bygg'!M99,'Inndata Bygg'!B99)</f>
        <v>0</v>
      </c>
      <c r="AC96" s="335">
        <f>IF(('Inndata Bygg'!G99+'Inndata Bygg'!O99+'Inndata Bygg'!S99) = 0, 0,('Inndata Bygg'!G99+'Inndata Bygg'!O99+'Inndata Bygg'!S99)*(('Inndata Bygg'!X99+'Inndata Bygg'!Y99+'Inndata Bygg'!AA99)*Transport_utslipp_til_avfallshånderting_per_kg+('Inndata Bygg'!Z99*'ZERO-B Beregning'!D198/1000)*IF('ZERO-B Beregning'!F199=0,'ZERO-B Beregning'!D199,'ZERO-B Beregning'!F199))*_xlfn.XLOOKUP(51, År_etter_ferdigstillelse, f_tid_x_f_tek_d_0_01))</f>
        <v>0</v>
      </c>
      <c r="AD96" s="577">
        <f>IF(('Inndata Bygg'!G99+'Inndata Bygg'!O99+'Inndata Bygg'!S99) = 0, 0,1.833*('Inndata Bygg'!G99*('Inndata Bygg'!L99*0.5+'Inndata Bygg'!M99*0.8)+'Inndata Bygg'!O99*'Inndata Bygg'!Q99+'Inndata Bygg'!S99*'Inndata Bygg'!U99)*AG96*_xlfn.XLOOKUP(51, År_etter_ferdigstillelse,  f_tid_x_f_tek_d_0_01))</f>
        <v>0</v>
      </c>
      <c r="AE96" s="575" cm="1">
        <f t="array" ref="AE96">CalculateEmissionsReductionFromReuse('ZERO-B Beregning'!$D$17,'Inndata Bygg'!H99,'Inndata Bygg'!G99,'Inndata Bygg'!Z99,'Inndata Bygg'!X99,'Inndata Bygg'!Y99,F96,'Inndata Bygg'!B99)</f>
        <v>0</v>
      </c>
      <c r="AF96" s="333" cm="1">
        <f t="array" ref="AF96">CalculateEmissionReductionFromRecycling('ZERO-B Beregning'!$D$17,'Inndata Bygg'!H99,'Inndata Bygg'!G99,'Inndata Bygg'!AA99,'Inndata Bygg'!X99,'Inndata Bygg'!Y99,F96,'Inndata Bygg'!B99)</f>
        <v>0</v>
      </c>
      <c r="AG96" s="572">
        <f>IF(('Inndata Bygg'!G99+'Inndata Bygg'!O99+'Inndata Bygg'!S99) = 0, 0,'Inndata Bygg'!X99*Faktorer!$Z$58)</f>
        <v>0</v>
      </c>
      <c r="AH96" s="573">
        <f>IF(('Inndata Bygg'!G99+'Inndata Bygg'!O99+'Inndata Bygg'!S99) = 0, 0,'Inndata Bygg'!Z99+('Inndata Bygg'!X99+'Inndata Bygg'!Y99)*(1-Faktorer!$Z$58)*0.5)</f>
        <v>0</v>
      </c>
      <c r="AI96" s="574">
        <f>IF(('Inndata Bygg'!G99+'Inndata Bygg'!O99+'Inndata Bygg'!S99) = 0, 0,'Inndata Bygg'!AA99+('Inndata Bygg'!X99+'Inndata Bygg'!Y99)*(1-Faktorer!$Z$58)*0.5)</f>
        <v>0</v>
      </c>
      <c r="AJ96" s="634"/>
      <c r="AK96" s="90">
        <f t="shared" si="3"/>
        <v>0</v>
      </c>
      <c r="AL96" s="91">
        <f>'Resultater detaljert Bygg'!N96</f>
        <v>0</v>
      </c>
      <c r="AM96" s="91" t="str">
        <f>IF(F96=0,"",('Inndata Bygg'!E99+'Inndata Bygg'!F99)*ROUNDDOWN('Inndata Bygg'!I99,0)*(1+'Inndata Bygg'!K99))</f>
        <v/>
      </c>
    </row>
    <row r="97" spans="2:39">
      <c r="B97" s="339">
        <f>'Inndata Bygg'!B100</f>
        <v>0</v>
      </c>
      <c r="C97" s="340">
        <f>'Inndata Bygg'!C100</f>
        <v>0</v>
      </c>
      <c r="D97" s="341">
        <f>'Inndata Bygg'!D100</f>
        <v>0</v>
      </c>
      <c r="E97" s="421" cm="1">
        <f t="array" ref="E97">SUM(IFERROR(F97:AD97,0))</f>
        <v>0</v>
      </c>
      <c r="F97" s="330">
        <f>'Inndata Bygg'!E100</f>
        <v>0</v>
      </c>
      <c r="G97" s="330">
        <f>IF('Inndata Bygg'!AB100="Ja", -0.8*'Resultater detaljert Bygg'!F97, 0)</f>
        <v>0</v>
      </c>
      <c r="H97" s="330">
        <f>IF('Inndata Bygg'!AC100="Ja", -0.4*'Resultater detaljert Bygg'!$F97, 0)</f>
        <v>0</v>
      </c>
      <c r="I97" s="330">
        <f>IF('Inndata Bygg'!AD100="Ja", -1*'Resultater detaljert Bygg'!$F97, 0)</f>
        <v>0</v>
      </c>
      <c r="J97" s="330">
        <f>'Inndata Bygg'!O100*'Inndata Bygg'!P100</f>
        <v>0</v>
      </c>
      <c r="K97" s="330">
        <f>MAX(-0.75*(SUM('Resultater detaljert Bygg'!F97:J97)),-'Inndata Bygg'!O100*'Inndata Bygg'!Q100)</f>
        <v>0</v>
      </c>
      <c r="L97" s="330">
        <f>'Inndata Bygg'!S100*'Inndata Bygg'!T100</f>
        <v>0</v>
      </c>
      <c r="M97" s="330">
        <f>MAX(-0.75*(SUM('Resultater detaljert Bygg'!F97:I97,L97)),-'Inndata Bygg'!S100*'Inndata Bygg'!U100)</f>
        <v>0</v>
      </c>
      <c r="N97" s="331">
        <f>'Inndata Bygg'!F100</f>
        <v>0</v>
      </c>
      <c r="O97" s="330">
        <f>'Inndata Bygg'!O100*'Inndata Bygg'!R100</f>
        <v>0</v>
      </c>
      <c r="P97" s="332">
        <f>'Inndata Bygg'!S100*'Inndata Bygg'!V100</f>
        <v>0</v>
      </c>
      <c r="Q97" s="493">
        <f>SUM(F97:J97,L97)*'Inndata Bygg'!K100</f>
        <v>0</v>
      </c>
      <c r="R97" s="333">
        <f>(K97+M97)*'Inndata Bygg'!K100</f>
        <v>0</v>
      </c>
      <c r="S97" s="493">
        <f>N97*'Inndata Bygg'!K100</f>
        <v>0</v>
      </c>
      <c r="T97" s="494">
        <f>'Inndata Bygg'!G100*'Inndata Bygg'!K100*Transport_utslipp_til_avfallshånderting_per_kg</f>
        <v>0</v>
      </c>
      <c r="U97" s="330">
        <f>IF('Inndata Bygg'!E100 = 0, 0, 1.833*'Inndata Bygg'!X100*'Inndata Bygg'!K100*('Inndata Bygg'!G100*('Inndata Bygg'!L100*0.5+'Inndata Bygg'!M100*0.8) + (12/44)*('Inndata Bygg'!O100*'Inndata Bygg'!Q100+'Inndata Bygg'!S100*'Inndata Bygg'!U100)))</f>
        <v>0</v>
      </c>
      <c r="V97" s="335" cm="1">
        <f t="array" ref="V97">CalculateBiogenicCarbonUptake('ZERO-B Beregning'!$D$17,'Inndata Bygg'!H100,'Inndata Bygg'!G100,'Inndata Bygg'!L100,F97,AB97,AC97,AD97)</f>
        <v>0</v>
      </c>
      <c r="W97" s="576" cm="1">
        <f t="array" ref="W97">CalculateCementCarbonUptake('ZERO-B Beregning'!$D$17,'Inndata Bygg'!H100,'Inndata Bygg'!G100,'Inndata Bygg'!N100)</f>
        <v>0</v>
      </c>
      <c r="X97" s="331" cm="1">
        <f t="array" ref="X97">IF(SUM(F97:J97,L97)=0, 0, SUM(F97:J97,L97)*(1+'Inndata Bygg'!K100)*IF('Inndata Bygg'!H100&gt;50, 0, _xlfn.XLOOKUP('Inndata Bygg'!H100, År_etter_ferdigstillelse, IF(VALUE(LEFT('Inndata Bygg'!B100, 2))= 49, f_tid_x_f_tek_d_0_037_kumulativ, f_tid_x_f_tek_d_0_01_kumulativ))))</f>
        <v>0</v>
      </c>
      <c r="Y97" s="330">
        <f>IF(X97=0, 0, SUM(K97,M97)*(1+'Inndata Bygg'!K100)*IF('Inndata Bygg'!H100&gt;50, 0, _xlfn.XLOOKUP('Inndata Bygg'!H100, År_etter_ferdigstillelse, f_tid_x_f_tek_d_0_01_kumulativ)))</f>
        <v>0</v>
      </c>
      <c r="Z97" s="336">
        <f>IF(X97=0, 0, SUM(N97:P97)*(1+'Inndata Bygg'!K100)*IF('Inndata Bygg'!H100&gt;50, 0, _xlfn.XLOOKUP('Inndata Bygg'!H100, År_etter_ferdigstillelse, f_tid_x_f_tek_d_0_01_kumulativ)))</f>
        <v>0</v>
      </c>
      <c r="AA97" s="336">
        <f>IF(X97=0, 0, ('Inndata Bygg'!G100+'Inndata Bygg'!O100+'Inndata Bygg'!S100)*(1+'Inndata Bygg'!K100)*Transport_utslipp_til_avfallshånderting_per_kg*IF('Inndata Bygg'!H100&gt;50, 0, _xlfn.XLOOKUP('Inndata Bygg'!H100, År_etter_ferdigstillelse, f_tid_x_f_tek_d_0_01_kumulativ)))</f>
        <v>0</v>
      </c>
      <c r="AB97" s="580" cm="1">
        <f t="array" ref="AB97">CalculateEmissionsFromIncinerationOfWaste('ZERO-B Beregning'!$D$17,'Inndata Bygg'!H100,'Inndata Bygg'!G100,'Inndata Bygg'!X100,'Inndata Bygg'!L100,'Inndata Bygg'!M100,'Inndata Bygg'!B100)</f>
        <v>0</v>
      </c>
      <c r="AC97" s="335">
        <f>IF(('Inndata Bygg'!G100+'Inndata Bygg'!O100+'Inndata Bygg'!S100) = 0, 0,('Inndata Bygg'!G100+'Inndata Bygg'!O100+'Inndata Bygg'!S100)*(('Inndata Bygg'!X100+'Inndata Bygg'!Y100+'Inndata Bygg'!AA100)*Transport_utslipp_til_avfallshånderting_per_kg+('Inndata Bygg'!Z100*'ZERO-B Beregning'!D199/1000)*IF('ZERO-B Beregning'!F200=0,'ZERO-B Beregning'!D200,'ZERO-B Beregning'!F200))*_xlfn.XLOOKUP(51, År_etter_ferdigstillelse, f_tid_x_f_tek_d_0_01))</f>
        <v>0</v>
      </c>
      <c r="AD97" s="577">
        <f>IF(('Inndata Bygg'!G100+'Inndata Bygg'!O100+'Inndata Bygg'!S100) = 0, 0,1.833*('Inndata Bygg'!G100*('Inndata Bygg'!L100*0.5+'Inndata Bygg'!M100*0.8)+'Inndata Bygg'!O100*'Inndata Bygg'!Q100+'Inndata Bygg'!S100*'Inndata Bygg'!U100)*AG97*_xlfn.XLOOKUP(51, År_etter_ferdigstillelse,  f_tid_x_f_tek_d_0_01))</f>
        <v>0</v>
      </c>
      <c r="AE97" s="575" cm="1">
        <f t="array" ref="AE97">CalculateEmissionsReductionFromReuse('ZERO-B Beregning'!$D$17,'Inndata Bygg'!H100,'Inndata Bygg'!G100,'Inndata Bygg'!Z100,'Inndata Bygg'!X100,'Inndata Bygg'!Y100,F97,'Inndata Bygg'!B100)</f>
        <v>0</v>
      </c>
      <c r="AF97" s="333" cm="1">
        <f t="array" ref="AF97">CalculateEmissionReductionFromRecycling('ZERO-B Beregning'!$D$17,'Inndata Bygg'!H100,'Inndata Bygg'!G100,'Inndata Bygg'!AA100,'Inndata Bygg'!X100,'Inndata Bygg'!Y100,F97,'Inndata Bygg'!B100)</f>
        <v>0</v>
      </c>
      <c r="AG97" s="572">
        <f>IF(('Inndata Bygg'!G100+'Inndata Bygg'!O100+'Inndata Bygg'!S100) = 0, 0,'Inndata Bygg'!X100*Faktorer!$Z$58)</f>
        <v>0</v>
      </c>
      <c r="AH97" s="573">
        <f>IF(('Inndata Bygg'!G100+'Inndata Bygg'!O100+'Inndata Bygg'!S100) = 0, 0,'Inndata Bygg'!Z100+('Inndata Bygg'!X100+'Inndata Bygg'!Y100)*(1-Faktorer!$Z$58)*0.5)</f>
        <v>0</v>
      </c>
      <c r="AI97" s="574">
        <f>IF(('Inndata Bygg'!G100+'Inndata Bygg'!O100+'Inndata Bygg'!S100) = 0, 0,'Inndata Bygg'!AA100+('Inndata Bygg'!X100+'Inndata Bygg'!Y100)*(1-Faktorer!$Z$58)*0.5)</f>
        <v>0</v>
      </c>
      <c r="AJ97" s="634"/>
      <c r="AK97" s="90">
        <f t="shared" si="3"/>
        <v>0</v>
      </c>
      <c r="AL97" s="91">
        <f>'Resultater detaljert Bygg'!N97</f>
        <v>0</v>
      </c>
      <c r="AM97" s="91" t="str">
        <f>IF(F97=0,"",('Inndata Bygg'!E100+'Inndata Bygg'!F100)*ROUNDDOWN('Inndata Bygg'!I100,0)*(1+'Inndata Bygg'!K100))</f>
        <v/>
      </c>
    </row>
    <row r="98" spans="2:39">
      <c r="B98" s="339">
        <f>'Inndata Bygg'!B101</f>
        <v>0</v>
      </c>
      <c r="C98" s="340">
        <f>'Inndata Bygg'!C101</f>
        <v>0</v>
      </c>
      <c r="D98" s="341">
        <f>'Inndata Bygg'!D101</f>
        <v>0</v>
      </c>
      <c r="E98" s="421" cm="1">
        <f t="array" ref="E98">SUM(IFERROR(F98:AD98,0))</f>
        <v>0</v>
      </c>
      <c r="F98" s="330">
        <f>'Inndata Bygg'!E101</f>
        <v>0</v>
      </c>
      <c r="G98" s="330">
        <f>IF('Inndata Bygg'!AB101="Ja", -0.8*'Resultater detaljert Bygg'!F98, 0)</f>
        <v>0</v>
      </c>
      <c r="H98" s="330">
        <f>IF('Inndata Bygg'!AC101="Ja", -0.4*'Resultater detaljert Bygg'!$F98, 0)</f>
        <v>0</v>
      </c>
      <c r="I98" s="330">
        <f>IF('Inndata Bygg'!AD101="Ja", -1*'Resultater detaljert Bygg'!$F98, 0)</f>
        <v>0</v>
      </c>
      <c r="J98" s="330">
        <f>'Inndata Bygg'!O101*'Inndata Bygg'!P101</f>
        <v>0</v>
      </c>
      <c r="K98" s="330">
        <f>MAX(-0.75*(SUM('Resultater detaljert Bygg'!F98:J98)),-'Inndata Bygg'!O101*'Inndata Bygg'!Q101)</f>
        <v>0</v>
      </c>
      <c r="L98" s="330">
        <f>'Inndata Bygg'!S101*'Inndata Bygg'!T101</f>
        <v>0</v>
      </c>
      <c r="M98" s="330">
        <f>MAX(-0.75*(SUM('Resultater detaljert Bygg'!F98:I98,L98)),-'Inndata Bygg'!S101*'Inndata Bygg'!U101)</f>
        <v>0</v>
      </c>
      <c r="N98" s="331">
        <f>'Inndata Bygg'!F101</f>
        <v>0</v>
      </c>
      <c r="O98" s="330">
        <f>'Inndata Bygg'!O101*'Inndata Bygg'!R101</f>
        <v>0</v>
      </c>
      <c r="P98" s="332">
        <f>'Inndata Bygg'!S101*'Inndata Bygg'!V101</f>
        <v>0</v>
      </c>
      <c r="Q98" s="493">
        <f>SUM(F98:J98,L98)*'Inndata Bygg'!K101</f>
        <v>0</v>
      </c>
      <c r="R98" s="333">
        <f>(K98+M98)*'Inndata Bygg'!K101</f>
        <v>0</v>
      </c>
      <c r="S98" s="493">
        <f>N98*'Inndata Bygg'!K101</f>
        <v>0</v>
      </c>
      <c r="T98" s="494">
        <f>'Inndata Bygg'!G101*'Inndata Bygg'!K101*Transport_utslipp_til_avfallshånderting_per_kg</f>
        <v>0</v>
      </c>
      <c r="U98" s="330">
        <f>IF('Inndata Bygg'!E101 = 0, 0, 1.833*'Inndata Bygg'!X101*'Inndata Bygg'!K101*('Inndata Bygg'!G101*('Inndata Bygg'!L101*0.5+'Inndata Bygg'!M101*0.8) + (12/44)*('Inndata Bygg'!O101*'Inndata Bygg'!Q101+'Inndata Bygg'!S101*'Inndata Bygg'!U101)))</f>
        <v>0</v>
      </c>
      <c r="V98" s="335" cm="1">
        <f t="array" ref="V98">CalculateBiogenicCarbonUptake('ZERO-B Beregning'!$D$17,'Inndata Bygg'!H101,'Inndata Bygg'!G101,'Inndata Bygg'!L101,F98,AB98,AC98,AD98)</f>
        <v>0</v>
      </c>
      <c r="W98" s="576" cm="1">
        <f t="array" ref="W98">CalculateCementCarbonUptake('ZERO-B Beregning'!$D$17,'Inndata Bygg'!H101,'Inndata Bygg'!G101,'Inndata Bygg'!N101)</f>
        <v>0</v>
      </c>
      <c r="X98" s="331" cm="1">
        <f t="array" ref="X98">IF(SUM(F98:J98,L98)=0, 0, SUM(F98:J98,L98)*(1+'Inndata Bygg'!K101)*IF('Inndata Bygg'!H101&gt;50, 0, _xlfn.XLOOKUP('Inndata Bygg'!H101, År_etter_ferdigstillelse, IF(VALUE(LEFT('Inndata Bygg'!B101, 2))= 49, f_tid_x_f_tek_d_0_037_kumulativ, f_tid_x_f_tek_d_0_01_kumulativ))))</f>
        <v>0</v>
      </c>
      <c r="Y98" s="330">
        <f>IF(X98=0, 0, SUM(K98,M98)*(1+'Inndata Bygg'!K101)*IF('Inndata Bygg'!H101&gt;50, 0, _xlfn.XLOOKUP('Inndata Bygg'!H101, År_etter_ferdigstillelse, f_tid_x_f_tek_d_0_01_kumulativ)))</f>
        <v>0</v>
      </c>
      <c r="Z98" s="336">
        <f>IF(X98=0, 0, SUM(N98:P98)*(1+'Inndata Bygg'!K101)*IF('Inndata Bygg'!H101&gt;50, 0, _xlfn.XLOOKUP('Inndata Bygg'!H101, År_etter_ferdigstillelse, f_tid_x_f_tek_d_0_01_kumulativ)))</f>
        <v>0</v>
      </c>
      <c r="AA98" s="336">
        <f>IF(X98=0, 0, ('Inndata Bygg'!G101+'Inndata Bygg'!O101+'Inndata Bygg'!S101)*(1+'Inndata Bygg'!K101)*Transport_utslipp_til_avfallshånderting_per_kg*IF('Inndata Bygg'!H101&gt;50, 0, _xlfn.XLOOKUP('Inndata Bygg'!H101, År_etter_ferdigstillelse, f_tid_x_f_tek_d_0_01_kumulativ)))</f>
        <v>0</v>
      </c>
      <c r="AB98" s="580" cm="1">
        <f t="array" ref="AB98">CalculateEmissionsFromIncinerationOfWaste('ZERO-B Beregning'!$D$17,'Inndata Bygg'!H101,'Inndata Bygg'!G101,'Inndata Bygg'!X101,'Inndata Bygg'!L101,'Inndata Bygg'!M101,'Inndata Bygg'!B101)</f>
        <v>0</v>
      </c>
      <c r="AC98" s="335">
        <f>IF(('Inndata Bygg'!G101+'Inndata Bygg'!O101+'Inndata Bygg'!S101) = 0, 0,('Inndata Bygg'!G101+'Inndata Bygg'!O101+'Inndata Bygg'!S101)*(('Inndata Bygg'!X101+'Inndata Bygg'!Y101+'Inndata Bygg'!AA101)*Transport_utslipp_til_avfallshånderting_per_kg+('Inndata Bygg'!Z101*'ZERO-B Beregning'!D200/1000)*IF('ZERO-B Beregning'!F201=0,'ZERO-B Beregning'!D201,'ZERO-B Beregning'!F201))*_xlfn.XLOOKUP(51, År_etter_ferdigstillelse, f_tid_x_f_tek_d_0_01))</f>
        <v>0</v>
      </c>
      <c r="AD98" s="577">
        <f>IF(('Inndata Bygg'!G101+'Inndata Bygg'!O101+'Inndata Bygg'!S101) = 0, 0,1.833*('Inndata Bygg'!G101*('Inndata Bygg'!L101*0.5+'Inndata Bygg'!M101*0.8)+'Inndata Bygg'!O101*'Inndata Bygg'!Q101+'Inndata Bygg'!S101*'Inndata Bygg'!U101)*AG98*_xlfn.XLOOKUP(51, År_etter_ferdigstillelse,  f_tid_x_f_tek_d_0_01))</f>
        <v>0</v>
      </c>
      <c r="AE98" s="575" cm="1">
        <f t="array" ref="AE98">CalculateEmissionsReductionFromReuse('ZERO-B Beregning'!$D$17,'Inndata Bygg'!H101,'Inndata Bygg'!G101,'Inndata Bygg'!Z101,'Inndata Bygg'!X101,'Inndata Bygg'!Y101,F98,'Inndata Bygg'!B101)</f>
        <v>0</v>
      </c>
      <c r="AF98" s="333" cm="1">
        <f t="array" ref="AF98">CalculateEmissionReductionFromRecycling('ZERO-B Beregning'!$D$17,'Inndata Bygg'!H101,'Inndata Bygg'!G101,'Inndata Bygg'!AA101,'Inndata Bygg'!X101,'Inndata Bygg'!Y101,F98,'Inndata Bygg'!B101)</f>
        <v>0</v>
      </c>
      <c r="AG98" s="572">
        <f>IF(('Inndata Bygg'!G101+'Inndata Bygg'!O101+'Inndata Bygg'!S101) = 0, 0,'Inndata Bygg'!X101*Faktorer!$Z$58)</f>
        <v>0</v>
      </c>
      <c r="AH98" s="573">
        <f>IF(('Inndata Bygg'!G101+'Inndata Bygg'!O101+'Inndata Bygg'!S101) = 0, 0,'Inndata Bygg'!Z101+('Inndata Bygg'!X101+'Inndata Bygg'!Y101)*(1-Faktorer!$Z$58)*0.5)</f>
        <v>0</v>
      </c>
      <c r="AI98" s="574">
        <f>IF(('Inndata Bygg'!G101+'Inndata Bygg'!O101+'Inndata Bygg'!S101) = 0, 0,'Inndata Bygg'!AA101+('Inndata Bygg'!X101+'Inndata Bygg'!Y101)*(1-Faktorer!$Z$58)*0.5)</f>
        <v>0</v>
      </c>
      <c r="AJ98" s="634"/>
      <c r="AK98" s="90">
        <f t="shared" si="3"/>
        <v>0</v>
      </c>
      <c r="AL98" s="91">
        <f>'Resultater detaljert Bygg'!N98</f>
        <v>0</v>
      </c>
      <c r="AM98" s="91" t="str">
        <f>IF(F98=0,"",('Inndata Bygg'!E101+'Inndata Bygg'!F101)*ROUNDDOWN('Inndata Bygg'!I101,0)*(1+'Inndata Bygg'!K101))</f>
        <v/>
      </c>
    </row>
    <row r="99" spans="2:39">
      <c r="B99" s="339">
        <f>'Inndata Bygg'!B102</f>
        <v>0</v>
      </c>
      <c r="C99" s="340">
        <f>'Inndata Bygg'!C102</f>
        <v>0</v>
      </c>
      <c r="D99" s="341">
        <f>'Inndata Bygg'!D102</f>
        <v>0</v>
      </c>
      <c r="E99" s="421" cm="1">
        <f t="array" ref="E99">SUM(IFERROR(F99:AD99,0))</f>
        <v>0</v>
      </c>
      <c r="F99" s="330">
        <f>'Inndata Bygg'!E102</f>
        <v>0</v>
      </c>
      <c r="G99" s="330">
        <f>IF('Inndata Bygg'!AB102="Ja", -0.8*'Resultater detaljert Bygg'!F99, 0)</f>
        <v>0</v>
      </c>
      <c r="H99" s="330">
        <f>IF('Inndata Bygg'!AC102="Ja", -0.4*'Resultater detaljert Bygg'!$F99, 0)</f>
        <v>0</v>
      </c>
      <c r="I99" s="330">
        <f>IF('Inndata Bygg'!AD102="Ja", -1*'Resultater detaljert Bygg'!$F99, 0)</f>
        <v>0</v>
      </c>
      <c r="J99" s="330">
        <f>'Inndata Bygg'!O102*'Inndata Bygg'!P102</f>
        <v>0</v>
      </c>
      <c r="K99" s="330">
        <f>MAX(-0.75*(SUM('Resultater detaljert Bygg'!F99:J99)),-'Inndata Bygg'!O102*'Inndata Bygg'!Q102)</f>
        <v>0</v>
      </c>
      <c r="L99" s="330">
        <f>'Inndata Bygg'!S102*'Inndata Bygg'!T102</f>
        <v>0</v>
      </c>
      <c r="M99" s="330">
        <f>MAX(-0.75*(SUM('Resultater detaljert Bygg'!F99:I99,L99)),-'Inndata Bygg'!S102*'Inndata Bygg'!U102)</f>
        <v>0</v>
      </c>
      <c r="N99" s="331">
        <f>'Inndata Bygg'!F102</f>
        <v>0</v>
      </c>
      <c r="O99" s="330">
        <f>'Inndata Bygg'!O102*'Inndata Bygg'!R102</f>
        <v>0</v>
      </c>
      <c r="P99" s="332">
        <f>'Inndata Bygg'!S102*'Inndata Bygg'!V102</f>
        <v>0</v>
      </c>
      <c r="Q99" s="493">
        <f>SUM(F99:J99,L99)*'Inndata Bygg'!K102</f>
        <v>0</v>
      </c>
      <c r="R99" s="333">
        <f>(K99+M99)*'Inndata Bygg'!K102</f>
        <v>0</v>
      </c>
      <c r="S99" s="493">
        <f>N99*'Inndata Bygg'!K102</f>
        <v>0</v>
      </c>
      <c r="T99" s="494">
        <f>'Inndata Bygg'!G102*'Inndata Bygg'!K102*Transport_utslipp_til_avfallshånderting_per_kg</f>
        <v>0</v>
      </c>
      <c r="U99" s="330">
        <f>IF('Inndata Bygg'!E102 = 0, 0, 1.833*'Inndata Bygg'!X102*'Inndata Bygg'!K102*('Inndata Bygg'!G102*('Inndata Bygg'!L102*0.5+'Inndata Bygg'!M102*0.8) + (12/44)*('Inndata Bygg'!O102*'Inndata Bygg'!Q102+'Inndata Bygg'!S102*'Inndata Bygg'!U102)))</f>
        <v>0</v>
      </c>
      <c r="V99" s="335" cm="1">
        <f t="array" ref="V99">CalculateBiogenicCarbonUptake('ZERO-B Beregning'!$D$17,'Inndata Bygg'!H102,'Inndata Bygg'!G102,'Inndata Bygg'!L102,F99,AB99,AC99,AD99)</f>
        <v>0</v>
      </c>
      <c r="W99" s="576" cm="1">
        <f t="array" ref="W99">CalculateCementCarbonUptake('ZERO-B Beregning'!$D$17,'Inndata Bygg'!H102,'Inndata Bygg'!G102,'Inndata Bygg'!N102)</f>
        <v>0</v>
      </c>
      <c r="X99" s="331" cm="1">
        <f t="array" ref="X99">IF(SUM(F99:J99,L99)=0, 0, SUM(F99:J99,L99)*(1+'Inndata Bygg'!K102)*IF('Inndata Bygg'!H102&gt;50, 0, _xlfn.XLOOKUP('Inndata Bygg'!H102, År_etter_ferdigstillelse, IF(VALUE(LEFT('Inndata Bygg'!B102, 2))= 49, f_tid_x_f_tek_d_0_037_kumulativ, f_tid_x_f_tek_d_0_01_kumulativ))))</f>
        <v>0</v>
      </c>
      <c r="Y99" s="330">
        <f>IF(X99=0, 0, SUM(K99,M99)*(1+'Inndata Bygg'!K102)*IF('Inndata Bygg'!H102&gt;50, 0, _xlfn.XLOOKUP('Inndata Bygg'!H102, År_etter_ferdigstillelse, f_tid_x_f_tek_d_0_01_kumulativ)))</f>
        <v>0</v>
      </c>
      <c r="Z99" s="336">
        <f>IF(X99=0, 0, SUM(N99:P99)*(1+'Inndata Bygg'!K102)*IF('Inndata Bygg'!H102&gt;50, 0, _xlfn.XLOOKUP('Inndata Bygg'!H102, År_etter_ferdigstillelse, f_tid_x_f_tek_d_0_01_kumulativ)))</f>
        <v>0</v>
      </c>
      <c r="AA99" s="336">
        <f>IF(X99=0, 0, ('Inndata Bygg'!G102+'Inndata Bygg'!O102+'Inndata Bygg'!S102)*(1+'Inndata Bygg'!K102)*Transport_utslipp_til_avfallshånderting_per_kg*IF('Inndata Bygg'!H102&gt;50, 0, _xlfn.XLOOKUP('Inndata Bygg'!H102, År_etter_ferdigstillelse, f_tid_x_f_tek_d_0_01_kumulativ)))</f>
        <v>0</v>
      </c>
      <c r="AB99" s="580" cm="1">
        <f t="array" ref="AB99">CalculateEmissionsFromIncinerationOfWaste('ZERO-B Beregning'!$D$17,'Inndata Bygg'!H102,'Inndata Bygg'!G102,'Inndata Bygg'!X102,'Inndata Bygg'!L102,'Inndata Bygg'!M102,'Inndata Bygg'!B102)</f>
        <v>0</v>
      </c>
      <c r="AC99" s="335">
        <f>IF(('Inndata Bygg'!G102+'Inndata Bygg'!O102+'Inndata Bygg'!S102) = 0, 0,('Inndata Bygg'!G102+'Inndata Bygg'!O102+'Inndata Bygg'!S102)*(('Inndata Bygg'!X102+'Inndata Bygg'!Y102+'Inndata Bygg'!AA102)*Transport_utslipp_til_avfallshånderting_per_kg+('Inndata Bygg'!Z102*'ZERO-B Beregning'!D201/1000)*IF('ZERO-B Beregning'!F202=0,'ZERO-B Beregning'!D202,'ZERO-B Beregning'!F202))*_xlfn.XLOOKUP(51, År_etter_ferdigstillelse, f_tid_x_f_tek_d_0_01))</f>
        <v>0</v>
      </c>
      <c r="AD99" s="577">
        <f>IF(('Inndata Bygg'!G102+'Inndata Bygg'!O102+'Inndata Bygg'!S102) = 0, 0,1.833*('Inndata Bygg'!G102*('Inndata Bygg'!L102*0.5+'Inndata Bygg'!M102*0.8)+'Inndata Bygg'!O102*'Inndata Bygg'!Q102+'Inndata Bygg'!S102*'Inndata Bygg'!U102)*AG99*_xlfn.XLOOKUP(51, År_etter_ferdigstillelse,  f_tid_x_f_tek_d_0_01))</f>
        <v>0</v>
      </c>
      <c r="AE99" s="575" cm="1">
        <f t="array" ref="AE99">CalculateEmissionsReductionFromReuse('ZERO-B Beregning'!$D$17,'Inndata Bygg'!H102,'Inndata Bygg'!G102,'Inndata Bygg'!Z102,'Inndata Bygg'!X102,'Inndata Bygg'!Y102,F99,'Inndata Bygg'!B102)</f>
        <v>0</v>
      </c>
      <c r="AF99" s="333" cm="1">
        <f t="array" ref="AF99">CalculateEmissionReductionFromRecycling('ZERO-B Beregning'!$D$17,'Inndata Bygg'!H102,'Inndata Bygg'!G102,'Inndata Bygg'!AA102,'Inndata Bygg'!X102,'Inndata Bygg'!Y102,F99,'Inndata Bygg'!B102)</f>
        <v>0</v>
      </c>
      <c r="AG99" s="572">
        <f>IF(('Inndata Bygg'!G102+'Inndata Bygg'!O102+'Inndata Bygg'!S102) = 0, 0,'Inndata Bygg'!X102*Faktorer!$Z$58)</f>
        <v>0</v>
      </c>
      <c r="AH99" s="573">
        <f>IF(('Inndata Bygg'!G102+'Inndata Bygg'!O102+'Inndata Bygg'!S102) = 0, 0,'Inndata Bygg'!Z102+('Inndata Bygg'!X102+'Inndata Bygg'!Y102)*(1-Faktorer!$Z$58)*0.5)</f>
        <v>0</v>
      </c>
      <c r="AI99" s="574">
        <f>IF(('Inndata Bygg'!G102+'Inndata Bygg'!O102+'Inndata Bygg'!S102) = 0, 0,'Inndata Bygg'!AA102+('Inndata Bygg'!X102+'Inndata Bygg'!Y102)*(1-Faktorer!$Z$58)*0.5)</f>
        <v>0</v>
      </c>
      <c r="AJ99" s="634"/>
      <c r="AK99" s="90">
        <f t="shared" si="3"/>
        <v>0</v>
      </c>
      <c r="AL99" s="91">
        <f>'Resultater detaljert Bygg'!N99</f>
        <v>0</v>
      </c>
      <c r="AM99" s="91" t="str">
        <f>IF(F99=0,"",('Inndata Bygg'!E102+'Inndata Bygg'!F102)*ROUNDDOWN('Inndata Bygg'!I102,0)*(1+'Inndata Bygg'!K102))</f>
        <v/>
      </c>
    </row>
    <row r="100" spans="2:39">
      <c r="B100" s="339">
        <f>'Inndata Bygg'!B103</f>
        <v>0</v>
      </c>
      <c r="C100" s="340">
        <f>'Inndata Bygg'!C103</f>
        <v>0</v>
      </c>
      <c r="D100" s="341">
        <f>'Inndata Bygg'!D103</f>
        <v>0</v>
      </c>
      <c r="E100" s="421" cm="1">
        <f t="array" ref="E100">SUM(IFERROR(F100:AD100,0))</f>
        <v>0</v>
      </c>
      <c r="F100" s="330">
        <f>'Inndata Bygg'!E103</f>
        <v>0</v>
      </c>
      <c r="G100" s="330">
        <f>IF('Inndata Bygg'!AB103="Ja", -0.8*'Resultater detaljert Bygg'!F100, 0)</f>
        <v>0</v>
      </c>
      <c r="H100" s="330">
        <f>IF('Inndata Bygg'!AC103="Ja", -0.4*'Resultater detaljert Bygg'!$F100, 0)</f>
        <v>0</v>
      </c>
      <c r="I100" s="330">
        <f>IF('Inndata Bygg'!AD103="Ja", -1*'Resultater detaljert Bygg'!$F100, 0)</f>
        <v>0</v>
      </c>
      <c r="J100" s="330">
        <f>'Inndata Bygg'!O103*'Inndata Bygg'!P103</f>
        <v>0</v>
      </c>
      <c r="K100" s="330">
        <f>MAX(-0.75*(SUM('Resultater detaljert Bygg'!F100:J100)),-'Inndata Bygg'!O103*'Inndata Bygg'!Q103)</f>
        <v>0</v>
      </c>
      <c r="L100" s="330">
        <f>'Inndata Bygg'!S103*'Inndata Bygg'!T103</f>
        <v>0</v>
      </c>
      <c r="M100" s="330">
        <f>MAX(-0.75*(SUM('Resultater detaljert Bygg'!F100:I100,L100)),-'Inndata Bygg'!S103*'Inndata Bygg'!U103)</f>
        <v>0</v>
      </c>
      <c r="N100" s="331">
        <f>'Inndata Bygg'!F103</f>
        <v>0</v>
      </c>
      <c r="O100" s="330">
        <f>'Inndata Bygg'!O103*'Inndata Bygg'!R103</f>
        <v>0</v>
      </c>
      <c r="P100" s="332">
        <f>'Inndata Bygg'!S103*'Inndata Bygg'!V103</f>
        <v>0</v>
      </c>
      <c r="Q100" s="493">
        <f>SUM(F100:J100,L100)*'Inndata Bygg'!K103</f>
        <v>0</v>
      </c>
      <c r="R100" s="333">
        <f>(K100+M100)*'Inndata Bygg'!K103</f>
        <v>0</v>
      </c>
      <c r="S100" s="493">
        <f>N100*'Inndata Bygg'!K103</f>
        <v>0</v>
      </c>
      <c r="T100" s="494">
        <f>'Inndata Bygg'!G103*'Inndata Bygg'!K103*Transport_utslipp_til_avfallshånderting_per_kg</f>
        <v>0</v>
      </c>
      <c r="U100" s="330">
        <f>IF('Inndata Bygg'!E103 = 0, 0, 1.833*'Inndata Bygg'!X103*'Inndata Bygg'!K103*('Inndata Bygg'!G103*('Inndata Bygg'!L103*0.5+'Inndata Bygg'!M103*0.8) + (12/44)*('Inndata Bygg'!O103*'Inndata Bygg'!Q103+'Inndata Bygg'!S103*'Inndata Bygg'!U103)))</f>
        <v>0</v>
      </c>
      <c r="V100" s="335" cm="1">
        <f t="array" ref="V100">CalculateBiogenicCarbonUptake('ZERO-B Beregning'!$D$17,'Inndata Bygg'!H103,'Inndata Bygg'!G103,'Inndata Bygg'!L103,F100,AB100,AC100,AD100)</f>
        <v>0</v>
      </c>
      <c r="W100" s="576" cm="1">
        <f t="array" ref="W100">CalculateCementCarbonUptake('ZERO-B Beregning'!$D$17,'Inndata Bygg'!H103,'Inndata Bygg'!G103,'Inndata Bygg'!N103)</f>
        <v>0</v>
      </c>
      <c r="X100" s="331" cm="1">
        <f t="array" ref="X100">IF(SUM(F100:J100,L100)=0, 0, SUM(F100:J100,L100)*(1+'Inndata Bygg'!K103)*IF('Inndata Bygg'!H103&gt;50, 0, _xlfn.XLOOKUP('Inndata Bygg'!H103, År_etter_ferdigstillelse, IF(VALUE(LEFT('Inndata Bygg'!B103, 2))= 49, f_tid_x_f_tek_d_0_037_kumulativ, f_tid_x_f_tek_d_0_01_kumulativ))))</f>
        <v>0</v>
      </c>
      <c r="Y100" s="330">
        <f>IF(X100=0, 0, SUM(K100,M100)*(1+'Inndata Bygg'!K103)*IF('Inndata Bygg'!H103&gt;50, 0, _xlfn.XLOOKUP('Inndata Bygg'!H103, År_etter_ferdigstillelse, f_tid_x_f_tek_d_0_01_kumulativ)))</f>
        <v>0</v>
      </c>
      <c r="Z100" s="336">
        <f>IF(X100=0, 0, SUM(N100:P100)*(1+'Inndata Bygg'!K103)*IF('Inndata Bygg'!H103&gt;50, 0, _xlfn.XLOOKUP('Inndata Bygg'!H103, År_etter_ferdigstillelse, f_tid_x_f_tek_d_0_01_kumulativ)))</f>
        <v>0</v>
      </c>
      <c r="AA100" s="336">
        <f>IF(X100=0, 0, ('Inndata Bygg'!G103+'Inndata Bygg'!O103+'Inndata Bygg'!S103)*(1+'Inndata Bygg'!K103)*Transport_utslipp_til_avfallshånderting_per_kg*IF('Inndata Bygg'!H103&gt;50, 0, _xlfn.XLOOKUP('Inndata Bygg'!H103, År_etter_ferdigstillelse, f_tid_x_f_tek_d_0_01_kumulativ)))</f>
        <v>0</v>
      </c>
      <c r="AB100" s="580" cm="1">
        <f t="array" ref="AB100">CalculateEmissionsFromIncinerationOfWaste('ZERO-B Beregning'!$D$17,'Inndata Bygg'!H103,'Inndata Bygg'!G103,'Inndata Bygg'!X103,'Inndata Bygg'!L103,'Inndata Bygg'!M103,'Inndata Bygg'!B103)</f>
        <v>0</v>
      </c>
      <c r="AC100" s="335">
        <f>IF(('Inndata Bygg'!G103+'Inndata Bygg'!O103+'Inndata Bygg'!S103) = 0, 0,('Inndata Bygg'!G103+'Inndata Bygg'!O103+'Inndata Bygg'!S103)*(('Inndata Bygg'!X103+'Inndata Bygg'!Y103+'Inndata Bygg'!AA103)*Transport_utslipp_til_avfallshånderting_per_kg+('Inndata Bygg'!Z103*'ZERO-B Beregning'!D202/1000)*IF('ZERO-B Beregning'!F203=0,'ZERO-B Beregning'!D203,'ZERO-B Beregning'!F203))*_xlfn.XLOOKUP(51, År_etter_ferdigstillelse, f_tid_x_f_tek_d_0_01))</f>
        <v>0</v>
      </c>
      <c r="AD100" s="577">
        <f>IF(('Inndata Bygg'!G103+'Inndata Bygg'!O103+'Inndata Bygg'!S103) = 0, 0,1.833*('Inndata Bygg'!G103*('Inndata Bygg'!L103*0.5+'Inndata Bygg'!M103*0.8)+'Inndata Bygg'!O103*'Inndata Bygg'!Q103+'Inndata Bygg'!S103*'Inndata Bygg'!U103)*AG100*_xlfn.XLOOKUP(51, År_etter_ferdigstillelse,  f_tid_x_f_tek_d_0_01))</f>
        <v>0</v>
      </c>
      <c r="AE100" s="575" cm="1">
        <f t="array" ref="AE100">CalculateEmissionsReductionFromReuse('ZERO-B Beregning'!$D$17,'Inndata Bygg'!H103,'Inndata Bygg'!G103,'Inndata Bygg'!Z103,'Inndata Bygg'!X103,'Inndata Bygg'!Y103,F100,'Inndata Bygg'!B103)</f>
        <v>0</v>
      </c>
      <c r="AF100" s="333" cm="1">
        <f t="array" ref="AF100">CalculateEmissionReductionFromRecycling('ZERO-B Beregning'!$D$17,'Inndata Bygg'!H103,'Inndata Bygg'!G103,'Inndata Bygg'!AA103,'Inndata Bygg'!X103,'Inndata Bygg'!Y103,F100,'Inndata Bygg'!B103)</f>
        <v>0</v>
      </c>
      <c r="AG100" s="572">
        <f>IF(('Inndata Bygg'!G103+'Inndata Bygg'!O103+'Inndata Bygg'!S103) = 0, 0,'Inndata Bygg'!X103*Faktorer!$Z$58)</f>
        <v>0</v>
      </c>
      <c r="AH100" s="573">
        <f>IF(('Inndata Bygg'!G103+'Inndata Bygg'!O103+'Inndata Bygg'!S103) = 0, 0,'Inndata Bygg'!Z103+('Inndata Bygg'!X103+'Inndata Bygg'!Y103)*(1-Faktorer!$Z$58)*0.5)</f>
        <v>0</v>
      </c>
      <c r="AI100" s="574">
        <f>IF(('Inndata Bygg'!G103+'Inndata Bygg'!O103+'Inndata Bygg'!S103) = 0, 0,'Inndata Bygg'!AA103+('Inndata Bygg'!X103+'Inndata Bygg'!Y103)*(1-Faktorer!$Z$58)*0.5)</f>
        <v>0</v>
      </c>
      <c r="AJ100" s="634"/>
      <c r="AK100" s="90">
        <f t="shared" si="3"/>
        <v>0</v>
      </c>
      <c r="AL100" s="91">
        <f>'Resultater detaljert Bygg'!N100</f>
        <v>0</v>
      </c>
      <c r="AM100" s="91" t="str">
        <f>IF(F100=0,"",('Inndata Bygg'!E103+'Inndata Bygg'!F103)*ROUNDDOWN('Inndata Bygg'!I103,0)*(1+'Inndata Bygg'!K103))</f>
        <v/>
      </c>
    </row>
    <row r="101" spans="2:39">
      <c r="B101" s="339">
        <f>'Inndata Bygg'!B104</f>
        <v>0</v>
      </c>
      <c r="C101" s="340">
        <f>'Inndata Bygg'!C104</f>
        <v>0</v>
      </c>
      <c r="D101" s="341">
        <f>'Inndata Bygg'!D104</f>
        <v>0</v>
      </c>
      <c r="E101" s="421" cm="1">
        <f t="array" ref="E101">SUM(IFERROR(F101:AD101,0))</f>
        <v>0</v>
      </c>
      <c r="F101" s="330">
        <f>'Inndata Bygg'!E104</f>
        <v>0</v>
      </c>
      <c r="G101" s="330">
        <f>IF('Inndata Bygg'!AB104="Ja", -0.8*'Resultater detaljert Bygg'!F101, 0)</f>
        <v>0</v>
      </c>
      <c r="H101" s="330">
        <f>IF('Inndata Bygg'!AC104="Ja", -0.4*'Resultater detaljert Bygg'!$F101, 0)</f>
        <v>0</v>
      </c>
      <c r="I101" s="330">
        <f>IF('Inndata Bygg'!AD104="Ja", -1*'Resultater detaljert Bygg'!$F101, 0)</f>
        <v>0</v>
      </c>
      <c r="J101" s="330">
        <f>'Inndata Bygg'!O104*'Inndata Bygg'!P104</f>
        <v>0</v>
      </c>
      <c r="K101" s="330">
        <f>MAX(-0.75*(SUM('Resultater detaljert Bygg'!F101:J101)),-'Inndata Bygg'!O104*'Inndata Bygg'!Q104)</f>
        <v>0</v>
      </c>
      <c r="L101" s="330">
        <f>'Inndata Bygg'!S104*'Inndata Bygg'!T104</f>
        <v>0</v>
      </c>
      <c r="M101" s="330">
        <f>MAX(-0.75*(SUM('Resultater detaljert Bygg'!F101:I101,L101)),-'Inndata Bygg'!S104*'Inndata Bygg'!U104)</f>
        <v>0</v>
      </c>
      <c r="N101" s="331">
        <f>'Inndata Bygg'!F104</f>
        <v>0</v>
      </c>
      <c r="O101" s="330">
        <f>'Inndata Bygg'!O104*'Inndata Bygg'!R104</f>
        <v>0</v>
      </c>
      <c r="P101" s="332">
        <f>'Inndata Bygg'!S104*'Inndata Bygg'!V104</f>
        <v>0</v>
      </c>
      <c r="Q101" s="493">
        <f>SUM(F101:J101,L101)*'Inndata Bygg'!K104</f>
        <v>0</v>
      </c>
      <c r="R101" s="333">
        <f>(K101+M101)*'Inndata Bygg'!K104</f>
        <v>0</v>
      </c>
      <c r="S101" s="493">
        <f>N101*'Inndata Bygg'!K104</f>
        <v>0</v>
      </c>
      <c r="T101" s="494">
        <f>'Inndata Bygg'!G104*'Inndata Bygg'!K104*Transport_utslipp_til_avfallshånderting_per_kg</f>
        <v>0</v>
      </c>
      <c r="U101" s="330">
        <f>IF('Inndata Bygg'!E104 = 0, 0, 1.833*'Inndata Bygg'!X104*'Inndata Bygg'!K104*('Inndata Bygg'!G104*('Inndata Bygg'!L104*0.5+'Inndata Bygg'!M104*0.8) + (12/44)*('Inndata Bygg'!O104*'Inndata Bygg'!Q104+'Inndata Bygg'!S104*'Inndata Bygg'!U104)))</f>
        <v>0</v>
      </c>
      <c r="V101" s="335" cm="1">
        <f t="array" ref="V101">CalculateBiogenicCarbonUptake('ZERO-B Beregning'!$D$17,'Inndata Bygg'!H104,'Inndata Bygg'!G104,'Inndata Bygg'!L104,F101,AB101,AC101,AD101)</f>
        <v>0</v>
      </c>
      <c r="W101" s="576" cm="1">
        <f t="array" ref="W101">CalculateCementCarbonUptake('ZERO-B Beregning'!$D$17,'Inndata Bygg'!H104,'Inndata Bygg'!G104,'Inndata Bygg'!N104)</f>
        <v>0</v>
      </c>
      <c r="X101" s="331" cm="1">
        <f t="array" ref="X101">IF(SUM(F101:J101,L101)=0, 0, SUM(F101:J101,L101)*(1+'Inndata Bygg'!K104)*IF('Inndata Bygg'!H104&gt;50, 0, _xlfn.XLOOKUP('Inndata Bygg'!H104, År_etter_ferdigstillelse, IF(VALUE(LEFT('Inndata Bygg'!B104, 2))= 49, f_tid_x_f_tek_d_0_037_kumulativ, f_tid_x_f_tek_d_0_01_kumulativ))))</f>
        <v>0</v>
      </c>
      <c r="Y101" s="330">
        <f>IF(X101=0, 0, SUM(K101,M101)*(1+'Inndata Bygg'!K104)*IF('Inndata Bygg'!H104&gt;50, 0, _xlfn.XLOOKUP('Inndata Bygg'!H104, År_etter_ferdigstillelse, f_tid_x_f_tek_d_0_01_kumulativ)))</f>
        <v>0</v>
      </c>
      <c r="Z101" s="336">
        <f>IF(X101=0, 0, SUM(N101:P101)*(1+'Inndata Bygg'!K104)*IF('Inndata Bygg'!H104&gt;50, 0, _xlfn.XLOOKUP('Inndata Bygg'!H104, År_etter_ferdigstillelse, f_tid_x_f_tek_d_0_01_kumulativ)))</f>
        <v>0</v>
      </c>
      <c r="AA101" s="336">
        <f>IF(X101=0, 0, ('Inndata Bygg'!G104+'Inndata Bygg'!O104+'Inndata Bygg'!S104)*(1+'Inndata Bygg'!K104)*Transport_utslipp_til_avfallshånderting_per_kg*IF('Inndata Bygg'!H104&gt;50, 0, _xlfn.XLOOKUP('Inndata Bygg'!H104, År_etter_ferdigstillelse, f_tid_x_f_tek_d_0_01_kumulativ)))</f>
        <v>0</v>
      </c>
      <c r="AB101" s="580" cm="1">
        <f t="array" ref="AB101">CalculateEmissionsFromIncinerationOfWaste('ZERO-B Beregning'!$D$17,'Inndata Bygg'!H104,'Inndata Bygg'!G104,'Inndata Bygg'!X104,'Inndata Bygg'!L104,'Inndata Bygg'!M104,'Inndata Bygg'!B104)</f>
        <v>0</v>
      </c>
      <c r="AC101" s="335">
        <f>IF(('Inndata Bygg'!G104+'Inndata Bygg'!O104+'Inndata Bygg'!S104) = 0, 0,('Inndata Bygg'!G104+'Inndata Bygg'!O104+'Inndata Bygg'!S104)*(('Inndata Bygg'!X104+'Inndata Bygg'!Y104+'Inndata Bygg'!AA104)*Transport_utslipp_til_avfallshånderting_per_kg+('Inndata Bygg'!Z104*'ZERO-B Beregning'!D203/1000)*IF('ZERO-B Beregning'!F204=0,'ZERO-B Beregning'!D204,'ZERO-B Beregning'!F204))*_xlfn.XLOOKUP(51, År_etter_ferdigstillelse, f_tid_x_f_tek_d_0_01))</f>
        <v>0</v>
      </c>
      <c r="AD101" s="577">
        <f>IF(('Inndata Bygg'!G104+'Inndata Bygg'!O104+'Inndata Bygg'!S104) = 0, 0,1.833*('Inndata Bygg'!G104*('Inndata Bygg'!L104*0.5+'Inndata Bygg'!M104*0.8)+'Inndata Bygg'!O104*'Inndata Bygg'!Q104+'Inndata Bygg'!S104*'Inndata Bygg'!U104)*AG101*_xlfn.XLOOKUP(51, År_etter_ferdigstillelse,  f_tid_x_f_tek_d_0_01))</f>
        <v>0</v>
      </c>
      <c r="AE101" s="575" cm="1">
        <f t="array" ref="AE101">CalculateEmissionsReductionFromReuse('ZERO-B Beregning'!$D$17,'Inndata Bygg'!H104,'Inndata Bygg'!G104,'Inndata Bygg'!Z104,'Inndata Bygg'!X104,'Inndata Bygg'!Y104,F101,'Inndata Bygg'!B104)</f>
        <v>0</v>
      </c>
      <c r="AF101" s="333" cm="1">
        <f t="array" ref="AF101">CalculateEmissionReductionFromRecycling('ZERO-B Beregning'!$D$17,'Inndata Bygg'!H104,'Inndata Bygg'!G104,'Inndata Bygg'!AA104,'Inndata Bygg'!X104,'Inndata Bygg'!Y104,F101,'Inndata Bygg'!B104)</f>
        <v>0</v>
      </c>
      <c r="AG101" s="572">
        <f>IF(('Inndata Bygg'!G104+'Inndata Bygg'!O104+'Inndata Bygg'!S104) = 0, 0,'Inndata Bygg'!X104*Faktorer!$Z$58)</f>
        <v>0</v>
      </c>
      <c r="AH101" s="573">
        <f>IF(('Inndata Bygg'!G104+'Inndata Bygg'!O104+'Inndata Bygg'!S104) = 0, 0,'Inndata Bygg'!Z104+('Inndata Bygg'!X104+'Inndata Bygg'!Y104)*(1-Faktorer!$Z$58)*0.5)</f>
        <v>0</v>
      </c>
      <c r="AI101" s="574">
        <f>IF(('Inndata Bygg'!G104+'Inndata Bygg'!O104+'Inndata Bygg'!S104) = 0, 0,'Inndata Bygg'!AA104+('Inndata Bygg'!X104+'Inndata Bygg'!Y104)*(1-Faktorer!$Z$58)*0.5)</f>
        <v>0</v>
      </c>
      <c r="AJ101" s="634"/>
      <c r="AK101" s="90">
        <f t="shared" si="3"/>
        <v>0</v>
      </c>
      <c r="AL101" s="91">
        <f>'Resultater detaljert Bygg'!N101</f>
        <v>0</v>
      </c>
      <c r="AM101" s="91" t="str">
        <f>IF(F101=0,"",('Inndata Bygg'!E104+'Inndata Bygg'!F104)*ROUNDDOWN('Inndata Bygg'!I104,0)*(1+'Inndata Bygg'!K104))</f>
        <v/>
      </c>
    </row>
    <row r="102" spans="2:39">
      <c r="B102" s="339">
        <f>'Inndata Bygg'!B105</f>
        <v>0</v>
      </c>
      <c r="C102" s="340">
        <f>'Inndata Bygg'!C105</f>
        <v>0</v>
      </c>
      <c r="D102" s="341">
        <f>'Inndata Bygg'!D105</f>
        <v>0</v>
      </c>
      <c r="E102" s="421" cm="1">
        <f t="array" ref="E102">SUM(IFERROR(F102:AD102,0))</f>
        <v>0</v>
      </c>
      <c r="F102" s="330">
        <f>'Inndata Bygg'!E105</f>
        <v>0</v>
      </c>
      <c r="G102" s="330">
        <f>IF('Inndata Bygg'!AB105="Ja", -0.8*'Resultater detaljert Bygg'!F102, 0)</f>
        <v>0</v>
      </c>
      <c r="H102" s="330">
        <f>IF('Inndata Bygg'!AC105="Ja", -0.4*'Resultater detaljert Bygg'!$F102, 0)</f>
        <v>0</v>
      </c>
      <c r="I102" s="330">
        <f>IF('Inndata Bygg'!AD105="Ja", -1*'Resultater detaljert Bygg'!$F102, 0)</f>
        <v>0</v>
      </c>
      <c r="J102" s="330">
        <f>'Inndata Bygg'!O105*'Inndata Bygg'!P105</f>
        <v>0</v>
      </c>
      <c r="K102" s="330">
        <f>MAX(-0.75*(SUM('Resultater detaljert Bygg'!F102:J102)),-'Inndata Bygg'!O105*'Inndata Bygg'!Q105)</f>
        <v>0</v>
      </c>
      <c r="L102" s="330">
        <f>'Inndata Bygg'!S105*'Inndata Bygg'!T105</f>
        <v>0</v>
      </c>
      <c r="M102" s="330">
        <f>MAX(-0.75*(SUM('Resultater detaljert Bygg'!F102:I102,L102)),-'Inndata Bygg'!S105*'Inndata Bygg'!U105)</f>
        <v>0</v>
      </c>
      <c r="N102" s="331">
        <f>'Inndata Bygg'!F105</f>
        <v>0</v>
      </c>
      <c r="O102" s="330">
        <f>'Inndata Bygg'!O105*'Inndata Bygg'!R105</f>
        <v>0</v>
      </c>
      <c r="P102" s="332">
        <f>'Inndata Bygg'!S105*'Inndata Bygg'!V105</f>
        <v>0</v>
      </c>
      <c r="Q102" s="493">
        <f>SUM(F102:J102,L102)*'Inndata Bygg'!K105</f>
        <v>0</v>
      </c>
      <c r="R102" s="333">
        <f>(K102+M102)*'Inndata Bygg'!K105</f>
        <v>0</v>
      </c>
      <c r="S102" s="493">
        <f>N102*'Inndata Bygg'!K105</f>
        <v>0</v>
      </c>
      <c r="T102" s="494">
        <f>'Inndata Bygg'!G105*'Inndata Bygg'!K105*Transport_utslipp_til_avfallshånderting_per_kg</f>
        <v>0</v>
      </c>
      <c r="U102" s="330">
        <f>IF('Inndata Bygg'!E105 = 0, 0, 1.833*'Inndata Bygg'!X105*'Inndata Bygg'!K105*('Inndata Bygg'!G105*('Inndata Bygg'!L105*0.5+'Inndata Bygg'!M105*0.8) + (12/44)*('Inndata Bygg'!O105*'Inndata Bygg'!Q105+'Inndata Bygg'!S105*'Inndata Bygg'!U105)))</f>
        <v>0</v>
      </c>
      <c r="V102" s="335" cm="1">
        <f t="array" ref="V102">CalculateBiogenicCarbonUptake('ZERO-B Beregning'!$D$17,'Inndata Bygg'!H105,'Inndata Bygg'!G105,'Inndata Bygg'!L105,F102,AB102,AC102,AD102)</f>
        <v>0</v>
      </c>
      <c r="W102" s="576" cm="1">
        <f t="array" ref="W102">CalculateCementCarbonUptake('ZERO-B Beregning'!$D$17,'Inndata Bygg'!H105,'Inndata Bygg'!G105,'Inndata Bygg'!N105)</f>
        <v>0</v>
      </c>
      <c r="X102" s="331" cm="1">
        <f t="array" ref="X102">IF(SUM(F102:J102,L102)=0, 0, SUM(F102:J102,L102)*(1+'Inndata Bygg'!K105)*IF('Inndata Bygg'!H105&gt;50, 0, _xlfn.XLOOKUP('Inndata Bygg'!H105, År_etter_ferdigstillelse, IF(VALUE(LEFT('Inndata Bygg'!B105, 2))= 49, f_tid_x_f_tek_d_0_037_kumulativ, f_tid_x_f_tek_d_0_01_kumulativ))))</f>
        <v>0</v>
      </c>
      <c r="Y102" s="330">
        <f>IF(X102=0, 0, SUM(K102,M102)*(1+'Inndata Bygg'!K105)*IF('Inndata Bygg'!H105&gt;50, 0, _xlfn.XLOOKUP('Inndata Bygg'!H105, År_etter_ferdigstillelse, f_tid_x_f_tek_d_0_01_kumulativ)))</f>
        <v>0</v>
      </c>
      <c r="Z102" s="336">
        <f>IF(X102=0, 0, SUM(N102:P102)*(1+'Inndata Bygg'!K105)*IF('Inndata Bygg'!H105&gt;50, 0, _xlfn.XLOOKUP('Inndata Bygg'!H105, År_etter_ferdigstillelse, f_tid_x_f_tek_d_0_01_kumulativ)))</f>
        <v>0</v>
      </c>
      <c r="AA102" s="336">
        <f>IF(X102=0, 0, ('Inndata Bygg'!G105+'Inndata Bygg'!O105+'Inndata Bygg'!S105)*(1+'Inndata Bygg'!K105)*Transport_utslipp_til_avfallshånderting_per_kg*IF('Inndata Bygg'!H105&gt;50, 0, _xlfn.XLOOKUP('Inndata Bygg'!H105, År_etter_ferdigstillelse, f_tid_x_f_tek_d_0_01_kumulativ)))</f>
        <v>0</v>
      </c>
      <c r="AB102" s="580" cm="1">
        <f t="array" ref="AB102">CalculateEmissionsFromIncinerationOfWaste('ZERO-B Beregning'!$D$17,'Inndata Bygg'!H105,'Inndata Bygg'!G105,'Inndata Bygg'!X105,'Inndata Bygg'!L105,'Inndata Bygg'!M105,'Inndata Bygg'!B105)</f>
        <v>0</v>
      </c>
      <c r="AC102" s="335">
        <f>IF(('Inndata Bygg'!G105+'Inndata Bygg'!O105+'Inndata Bygg'!S105) = 0, 0,('Inndata Bygg'!G105+'Inndata Bygg'!O105+'Inndata Bygg'!S105)*(('Inndata Bygg'!X105+'Inndata Bygg'!Y105+'Inndata Bygg'!AA105)*Transport_utslipp_til_avfallshånderting_per_kg+('Inndata Bygg'!Z105*'ZERO-B Beregning'!D204/1000)*IF('ZERO-B Beregning'!F205=0,'ZERO-B Beregning'!D205,'ZERO-B Beregning'!F205))*_xlfn.XLOOKUP(51, År_etter_ferdigstillelse, f_tid_x_f_tek_d_0_01))</f>
        <v>0</v>
      </c>
      <c r="AD102" s="577">
        <f>IF(('Inndata Bygg'!G105+'Inndata Bygg'!O105+'Inndata Bygg'!S105) = 0, 0,1.833*('Inndata Bygg'!G105*('Inndata Bygg'!L105*0.5+'Inndata Bygg'!M105*0.8)+'Inndata Bygg'!O105*'Inndata Bygg'!Q105+'Inndata Bygg'!S105*'Inndata Bygg'!U105)*AG102*_xlfn.XLOOKUP(51, År_etter_ferdigstillelse,  f_tid_x_f_tek_d_0_01))</f>
        <v>0</v>
      </c>
      <c r="AE102" s="575" cm="1">
        <f t="array" ref="AE102">CalculateEmissionsReductionFromReuse('ZERO-B Beregning'!$D$17,'Inndata Bygg'!H105,'Inndata Bygg'!G105,'Inndata Bygg'!Z105,'Inndata Bygg'!X105,'Inndata Bygg'!Y105,F102,'Inndata Bygg'!B105)</f>
        <v>0</v>
      </c>
      <c r="AF102" s="333" cm="1">
        <f t="array" ref="AF102">CalculateEmissionReductionFromRecycling('ZERO-B Beregning'!$D$17,'Inndata Bygg'!H105,'Inndata Bygg'!G105,'Inndata Bygg'!AA105,'Inndata Bygg'!X105,'Inndata Bygg'!Y105,F102,'Inndata Bygg'!B105)</f>
        <v>0</v>
      </c>
      <c r="AG102" s="572">
        <f>IF(('Inndata Bygg'!G105+'Inndata Bygg'!O105+'Inndata Bygg'!S105) = 0, 0,'Inndata Bygg'!X105*Faktorer!$Z$58)</f>
        <v>0</v>
      </c>
      <c r="AH102" s="573">
        <f>IF(('Inndata Bygg'!G105+'Inndata Bygg'!O105+'Inndata Bygg'!S105) = 0, 0,'Inndata Bygg'!Z105+('Inndata Bygg'!X105+'Inndata Bygg'!Y105)*(1-Faktorer!$Z$58)*0.5)</f>
        <v>0</v>
      </c>
      <c r="AI102" s="574">
        <f>IF(('Inndata Bygg'!G105+'Inndata Bygg'!O105+'Inndata Bygg'!S105) = 0, 0,'Inndata Bygg'!AA105+('Inndata Bygg'!X105+'Inndata Bygg'!Y105)*(1-Faktorer!$Z$58)*0.5)</f>
        <v>0</v>
      </c>
      <c r="AJ102" s="634"/>
      <c r="AK102" s="90">
        <f t="shared" si="3"/>
        <v>0</v>
      </c>
      <c r="AL102" s="91">
        <f>'Resultater detaljert Bygg'!N102</f>
        <v>0</v>
      </c>
      <c r="AM102" s="91" t="str">
        <f>IF(F102=0,"",('Inndata Bygg'!E105+'Inndata Bygg'!F105)*ROUNDDOWN('Inndata Bygg'!I105,0)*(1+'Inndata Bygg'!K105))</f>
        <v/>
      </c>
    </row>
    <row r="103" spans="2:39">
      <c r="B103" s="339">
        <f>'Inndata Bygg'!B106</f>
        <v>0</v>
      </c>
      <c r="C103" s="340">
        <f>'Inndata Bygg'!C106</f>
        <v>0</v>
      </c>
      <c r="D103" s="341">
        <f>'Inndata Bygg'!D106</f>
        <v>0</v>
      </c>
      <c r="E103" s="421" cm="1">
        <f t="array" ref="E103">SUM(IFERROR(F103:AD103,0))</f>
        <v>0</v>
      </c>
      <c r="F103" s="330">
        <f>'Inndata Bygg'!E106</f>
        <v>0</v>
      </c>
      <c r="G103" s="330">
        <f>IF('Inndata Bygg'!AB106="Ja", -0.8*'Resultater detaljert Bygg'!F103, 0)</f>
        <v>0</v>
      </c>
      <c r="H103" s="330">
        <f>IF('Inndata Bygg'!AC106="Ja", -0.4*'Resultater detaljert Bygg'!$F103, 0)</f>
        <v>0</v>
      </c>
      <c r="I103" s="330">
        <f>IF('Inndata Bygg'!AD106="Ja", -1*'Resultater detaljert Bygg'!$F103, 0)</f>
        <v>0</v>
      </c>
      <c r="J103" s="330">
        <f>'Inndata Bygg'!O106*'Inndata Bygg'!P106</f>
        <v>0</v>
      </c>
      <c r="K103" s="330">
        <f>MAX(-0.75*(SUM('Resultater detaljert Bygg'!F103:J103)),-'Inndata Bygg'!O106*'Inndata Bygg'!Q106)</f>
        <v>0</v>
      </c>
      <c r="L103" s="330">
        <f>'Inndata Bygg'!S106*'Inndata Bygg'!T106</f>
        <v>0</v>
      </c>
      <c r="M103" s="330">
        <f>MAX(-0.75*(SUM('Resultater detaljert Bygg'!F103:I103,L103)),-'Inndata Bygg'!S106*'Inndata Bygg'!U106)</f>
        <v>0</v>
      </c>
      <c r="N103" s="331">
        <f>'Inndata Bygg'!F106</f>
        <v>0</v>
      </c>
      <c r="O103" s="330">
        <f>'Inndata Bygg'!O106*'Inndata Bygg'!R106</f>
        <v>0</v>
      </c>
      <c r="P103" s="332">
        <f>'Inndata Bygg'!S106*'Inndata Bygg'!V106</f>
        <v>0</v>
      </c>
      <c r="Q103" s="493">
        <f>SUM(F103:J103,L103)*'Inndata Bygg'!K106</f>
        <v>0</v>
      </c>
      <c r="R103" s="333">
        <f>(K103+M103)*'Inndata Bygg'!K106</f>
        <v>0</v>
      </c>
      <c r="S103" s="493">
        <f>N103*'Inndata Bygg'!K106</f>
        <v>0</v>
      </c>
      <c r="T103" s="494">
        <f>'Inndata Bygg'!G106*'Inndata Bygg'!K106*Transport_utslipp_til_avfallshånderting_per_kg</f>
        <v>0</v>
      </c>
      <c r="U103" s="330">
        <f>IF('Inndata Bygg'!E106 = 0, 0, 1.833*'Inndata Bygg'!X106*'Inndata Bygg'!K106*('Inndata Bygg'!G106*('Inndata Bygg'!L106*0.5+'Inndata Bygg'!M106*0.8) + (12/44)*('Inndata Bygg'!O106*'Inndata Bygg'!Q106+'Inndata Bygg'!S106*'Inndata Bygg'!U106)))</f>
        <v>0</v>
      </c>
      <c r="V103" s="335" cm="1">
        <f t="array" ref="V103">CalculateBiogenicCarbonUptake('ZERO-B Beregning'!$D$17,'Inndata Bygg'!H106,'Inndata Bygg'!G106,'Inndata Bygg'!L106,F103,AB103,AC103,AD103)</f>
        <v>0</v>
      </c>
      <c r="W103" s="576" cm="1">
        <f t="array" ref="W103">CalculateCementCarbonUptake('ZERO-B Beregning'!$D$17,'Inndata Bygg'!H106,'Inndata Bygg'!G106,'Inndata Bygg'!N106)</f>
        <v>0</v>
      </c>
      <c r="X103" s="331" cm="1">
        <f t="array" ref="X103">IF(SUM(F103:J103,L103)=0, 0, SUM(F103:J103,L103)*(1+'Inndata Bygg'!K106)*IF('Inndata Bygg'!H106&gt;50, 0, _xlfn.XLOOKUP('Inndata Bygg'!H106, År_etter_ferdigstillelse, IF(VALUE(LEFT('Inndata Bygg'!B106, 2))= 49, f_tid_x_f_tek_d_0_037_kumulativ, f_tid_x_f_tek_d_0_01_kumulativ))))</f>
        <v>0</v>
      </c>
      <c r="Y103" s="330">
        <f>IF(X103=0, 0, SUM(K103,M103)*(1+'Inndata Bygg'!K106)*IF('Inndata Bygg'!H106&gt;50, 0, _xlfn.XLOOKUP('Inndata Bygg'!H106, År_etter_ferdigstillelse, f_tid_x_f_tek_d_0_01_kumulativ)))</f>
        <v>0</v>
      </c>
      <c r="Z103" s="336">
        <f>IF(X103=0, 0, SUM(N103:P103)*(1+'Inndata Bygg'!K106)*IF('Inndata Bygg'!H106&gt;50, 0, _xlfn.XLOOKUP('Inndata Bygg'!H106, År_etter_ferdigstillelse, f_tid_x_f_tek_d_0_01_kumulativ)))</f>
        <v>0</v>
      </c>
      <c r="AA103" s="336">
        <f>IF(X103=0, 0, ('Inndata Bygg'!G106+'Inndata Bygg'!O106+'Inndata Bygg'!S106)*(1+'Inndata Bygg'!K106)*Transport_utslipp_til_avfallshånderting_per_kg*IF('Inndata Bygg'!H106&gt;50, 0, _xlfn.XLOOKUP('Inndata Bygg'!H106, År_etter_ferdigstillelse, f_tid_x_f_tek_d_0_01_kumulativ)))</f>
        <v>0</v>
      </c>
      <c r="AB103" s="580" cm="1">
        <f t="array" ref="AB103">CalculateEmissionsFromIncinerationOfWaste('ZERO-B Beregning'!$D$17,'Inndata Bygg'!H106,'Inndata Bygg'!G106,'Inndata Bygg'!X106,'Inndata Bygg'!L106,'Inndata Bygg'!M106,'Inndata Bygg'!B106)</f>
        <v>0</v>
      </c>
      <c r="AC103" s="335">
        <f>IF(('Inndata Bygg'!G106+'Inndata Bygg'!O106+'Inndata Bygg'!S106) = 0, 0,('Inndata Bygg'!G106+'Inndata Bygg'!O106+'Inndata Bygg'!S106)*(('Inndata Bygg'!X106+'Inndata Bygg'!Y106+'Inndata Bygg'!AA106)*Transport_utslipp_til_avfallshånderting_per_kg+('Inndata Bygg'!Z106*'ZERO-B Beregning'!D205/1000)*IF('ZERO-B Beregning'!F206=0,'ZERO-B Beregning'!D206,'ZERO-B Beregning'!F206))*_xlfn.XLOOKUP(51, År_etter_ferdigstillelse, f_tid_x_f_tek_d_0_01))</f>
        <v>0</v>
      </c>
      <c r="AD103" s="577">
        <f>IF(('Inndata Bygg'!G106+'Inndata Bygg'!O106+'Inndata Bygg'!S106) = 0, 0,1.833*('Inndata Bygg'!G106*('Inndata Bygg'!L106*0.5+'Inndata Bygg'!M106*0.8)+'Inndata Bygg'!O106*'Inndata Bygg'!Q106+'Inndata Bygg'!S106*'Inndata Bygg'!U106)*AG103*_xlfn.XLOOKUP(51, År_etter_ferdigstillelse,  f_tid_x_f_tek_d_0_01))</f>
        <v>0</v>
      </c>
      <c r="AE103" s="575" cm="1">
        <f t="array" ref="AE103">CalculateEmissionsReductionFromReuse('ZERO-B Beregning'!$D$17,'Inndata Bygg'!H106,'Inndata Bygg'!G106,'Inndata Bygg'!Z106,'Inndata Bygg'!X106,'Inndata Bygg'!Y106,F103,'Inndata Bygg'!B106)</f>
        <v>0</v>
      </c>
      <c r="AF103" s="333" cm="1">
        <f t="array" ref="AF103">CalculateEmissionReductionFromRecycling('ZERO-B Beregning'!$D$17,'Inndata Bygg'!H106,'Inndata Bygg'!G106,'Inndata Bygg'!AA106,'Inndata Bygg'!X106,'Inndata Bygg'!Y106,F103,'Inndata Bygg'!B106)</f>
        <v>0</v>
      </c>
      <c r="AG103" s="572">
        <f>IF(('Inndata Bygg'!G106+'Inndata Bygg'!O106+'Inndata Bygg'!S106) = 0, 0,'Inndata Bygg'!X106*Faktorer!$Z$58)</f>
        <v>0</v>
      </c>
      <c r="AH103" s="573">
        <f>IF(('Inndata Bygg'!G106+'Inndata Bygg'!O106+'Inndata Bygg'!S106) = 0, 0,'Inndata Bygg'!Z106+('Inndata Bygg'!X106+'Inndata Bygg'!Y106)*(1-Faktorer!$Z$58)*0.5)</f>
        <v>0</v>
      </c>
      <c r="AI103" s="574">
        <f>IF(('Inndata Bygg'!G106+'Inndata Bygg'!O106+'Inndata Bygg'!S106) = 0, 0,'Inndata Bygg'!AA106+('Inndata Bygg'!X106+'Inndata Bygg'!Y106)*(1-Faktorer!$Z$58)*0.5)</f>
        <v>0</v>
      </c>
      <c r="AJ103" s="634"/>
      <c r="AK103" s="90">
        <f t="shared" si="3"/>
        <v>0</v>
      </c>
      <c r="AL103" s="91">
        <f>'Resultater detaljert Bygg'!N103</f>
        <v>0</v>
      </c>
      <c r="AM103" s="91" t="str">
        <f>IF(F103=0,"",('Inndata Bygg'!E106+'Inndata Bygg'!F106)*ROUNDDOWN('Inndata Bygg'!I106,0)*(1+'Inndata Bygg'!K106))</f>
        <v/>
      </c>
    </row>
    <row r="104" spans="2:39">
      <c r="B104" s="339">
        <f>'Inndata Bygg'!B107</f>
        <v>0</v>
      </c>
      <c r="C104" s="340">
        <f>'Inndata Bygg'!C107</f>
        <v>0</v>
      </c>
      <c r="D104" s="341">
        <f>'Inndata Bygg'!D107</f>
        <v>0</v>
      </c>
      <c r="E104" s="421" cm="1">
        <f t="array" ref="E104">SUM(IFERROR(F104:AD104,0))</f>
        <v>0</v>
      </c>
      <c r="F104" s="330">
        <f>'Inndata Bygg'!E107</f>
        <v>0</v>
      </c>
      <c r="G104" s="330">
        <f>IF('Inndata Bygg'!AB107="Ja", -0.8*'Resultater detaljert Bygg'!F104, 0)</f>
        <v>0</v>
      </c>
      <c r="H104" s="330">
        <f>IF('Inndata Bygg'!AC107="Ja", -0.4*'Resultater detaljert Bygg'!$F104, 0)</f>
        <v>0</v>
      </c>
      <c r="I104" s="330">
        <f>IF('Inndata Bygg'!AD107="Ja", -1*'Resultater detaljert Bygg'!$F104, 0)</f>
        <v>0</v>
      </c>
      <c r="J104" s="330">
        <f>'Inndata Bygg'!O107*'Inndata Bygg'!P107</f>
        <v>0</v>
      </c>
      <c r="K104" s="330">
        <f>MAX(-0.75*(SUM('Resultater detaljert Bygg'!F104:J104)),-'Inndata Bygg'!O107*'Inndata Bygg'!Q107)</f>
        <v>0</v>
      </c>
      <c r="L104" s="330">
        <f>'Inndata Bygg'!S107*'Inndata Bygg'!T107</f>
        <v>0</v>
      </c>
      <c r="M104" s="330">
        <f>MAX(-0.75*(SUM('Resultater detaljert Bygg'!F104:I104,L104)),-'Inndata Bygg'!S107*'Inndata Bygg'!U107)</f>
        <v>0</v>
      </c>
      <c r="N104" s="331">
        <f>'Inndata Bygg'!F107</f>
        <v>0</v>
      </c>
      <c r="O104" s="330">
        <f>'Inndata Bygg'!O107*'Inndata Bygg'!R107</f>
        <v>0</v>
      </c>
      <c r="P104" s="332">
        <f>'Inndata Bygg'!S107*'Inndata Bygg'!V107</f>
        <v>0</v>
      </c>
      <c r="Q104" s="493">
        <f>SUM(F104:J104,L104)*'Inndata Bygg'!K107</f>
        <v>0</v>
      </c>
      <c r="R104" s="333">
        <f>(K104+M104)*'Inndata Bygg'!K107</f>
        <v>0</v>
      </c>
      <c r="S104" s="493">
        <f>N104*'Inndata Bygg'!K107</f>
        <v>0</v>
      </c>
      <c r="T104" s="494">
        <f>'Inndata Bygg'!G107*'Inndata Bygg'!K107*Transport_utslipp_til_avfallshånderting_per_kg</f>
        <v>0</v>
      </c>
      <c r="U104" s="330">
        <f>IF('Inndata Bygg'!E107 = 0, 0, 1.833*'Inndata Bygg'!X107*'Inndata Bygg'!K107*('Inndata Bygg'!G107*('Inndata Bygg'!L107*0.5+'Inndata Bygg'!M107*0.8) + (12/44)*('Inndata Bygg'!O107*'Inndata Bygg'!Q107+'Inndata Bygg'!S107*'Inndata Bygg'!U107)))</f>
        <v>0</v>
      </c>
      <c r="V104" s="335" cm="1">
        <f t="array" ref="V104">CalculateBiogenicCarbonUptake('ZERO-B Beregning'!$D$17,'Inndata Bygg'!H107,'Inndata Bygg'!G107,'Inndata Bygg'!L107,F104,AB104,AC104,AD104)</f>
        <v>0</v>
      </c>
      <c r="W104" s="576" cm="1">
        <f t="array" ref="W104">CalculateCementCarbonUptake('ZERO-B Beregning'!$D$17,'Inndata Bygg'!H107,'Inndata Bygg'!G107,'Inndata Bygg'!N107)</f>
        <v>0</v>
      </c>
      <c r="X104" s="331" cm="1">
        <f t="array" ref="X104">IF(SUM(F104:J104,L104)=0, 0, SUM(F104:J104,L104)*(1+'Inndata Bygg'!K107)*IF('Inndata Bygg'!H107&gt;50, 0, _xlfn.XLOOKUP('Inndata Bygg'!H107, År_etter_ferdigstillelse, IF(VALUE(LEFT('Inndata Bygg'!B107, 2))= 49, f_tid_x_f_tek_d_0_037_kumulativ, f_tid_x_f_tek_d_0_01_kumulativ))))</f>
        <v>0</v>
      </c>
      <c r="Y104" s="330">
        <f>IF(X104=0, 0, SUM(K104,M104)*(1+'Inndata Bygg'!K107)*IF('Inndata Bygg'!H107&gt;50, 0, _xlfn.XLOOKUP('Inndata Bygg'!H107, År_etter_ferdigstillelse, f_tid_x_f_tek_d_0_01_kumulativ)))</f>
        <v>0</v>
      </c>
      <c r="Z104" s="336">
        <f>IF(X104=0, 0, SUM(N104:P104)*(1+'Inndata Bygg'!K107)*IF('Inndata Bygg'!H107&gt;50, 0, _xlfn.XLOOKUP('Inndata Bygg'!H107, År_etter_ferdigstillelse, f_tid_x_f_tek_d_0_01_kumulativ)))</f>
        <v>0</v>
      </c>
      <c r="AA104" s="336">
        <f>IF(X104=0, 0, ('Inndata Bygg'!G107+'Inndata Bygg'!O107+'Inndata Bygg'!S107)*(1+'Inndata Bygg'!K107)*Transport_utslipp_til_avfallshånderting_per_kg*IF('Inndata Bygg'!H107&gt;50, 0, _xlfn.XLOOKUP('Inndata Bygg'!H107, År_etter_ferdigstillelse, f_tid_x_f_tek_d_0_01_kumulativ)))</f>
        <v>0</v>
      </c>
      <c r="AB104" s="580" cm="1">
        <f t="array" ref="AB104">CalculateEmissionsFromIncinerationOfWaste('ZERO-B Beregning'!$D$17,'Inndata Bygg'!H107,'Inndata Bygg'!G107,'Inndata Bygg'!X107,'Inndata Bygg'!L107,'Inndata Bygg'!M107,'Inndata Bygg'!B107)</f>
        <v>0</v>
      </c>
      <c r="AC104" s="335">
        <f>IF(('Inndata Bygg'!G107+'Inndata Bygg'!O107+'Inndata Bygg'!S107) = 0, 0,('Inndata Bygg'!G107+'Inndata Bygg'!O107+'Inndata Bygg'!S107)*(('Inndata Bygg'!X107+'Inndata Bygg'!Y107+'Inndata Bygg'!AA107)*Transport_utslipp_til_avfallshånderting_per_kg+('Inndata Bygg'!Z107*'ZERO-B Beregning'!D206/1000)*IF('ZERO-B Beregning'!F207=0,'ZERO-B Beregning'!D207,'ZERO-B Beregning'!F207))*_xlfn.XLOOKUP(51, År_etter_ferdigstillelse, f_tid_x_f_tek_d_0_01))</f>
        <v>0</v>
      </c>
      <c r="AD104" s="577">
        <f>IF(('Inndata Bygg'!G107+'Inndata Bygg'!O107+'Inndata Bygg'!S107) = 0, 0,1.833*('Inndata Bygg'!G107*('Inndata Bygg'!L107*0.5+'Inndata Bygg'!M107*0.8)+'Inndata Bygg'!O107*'Inndata Bygg'!Q107+'Inndata Bygg'!S107*'Inndata Bygg'!U107)*AG104*_xlfn.XLOOKUP(51, År_etter_ferdigstillelse,  f_tid_x_f_tek_d_0_01))</f>
        <v>0</v>
      </c>
      <c r="AE104" s="575" cm="1">
        <f t="array" ref="AE104">CalculateEmissionsReductionFromReuse('ZERO-B Beregning'!$D$17,'Inndata Bygg'!H107,'Inndata Bygg'!G107,'Inndata Bygg'!Z107,'Inndata Bygg'!X107,'Inndata Bygg'!Y107,F104,'Inndata Bygg'!B107)</f>
        <v>0</v>
      </c>
      <c r="AF104" s="333" cm="1">
        <f t="array" ref="AF104">CalculateEmissionReductionFromRecycling('ZERO-B Beregning'!$D$17,'Inndata Bygg'!H107,'Inndata Bygg'!G107,'Inndata Bygg'!AA107,'Inndata Bygg'!X107,'Inndata Bygg'!Y107,F104,'Inndata Bygg'!B107)</f>
        <v>0</v>
      </c>
      <c r="AG104" s="572">
        <f>IF(('Inndata Bygg'!G107+'Inndata Bygg'!O107+'Inndata Bygg'!S107) = 0, 0,'Inndata Bygg'!X107*Faktorer!$Z$58)</f>
        <v>0</v>
      </c>
      <c r="AH104" s="573">
        <f>IF(('Inndata Bygg'!G107+'Inndata Bygg'!O107+'Inndata Bygg'!S107) = 0, 0,'Inndata Bygg'!Z107+('Inndata Bygg'!X107+'Inndata Bygg'!Y107)*(1-Faktorer!$Z$58)*0.5)</f>
        <v>0</v>
      </c>
      <c r="AI104" s="574">
        <f>IF(('Inndata Bygg'!G107+'Inndata Bygg'!O107+'Inndata Bygg'!S107) = 0, 0,'Inndata Bygg'!AA107+('Inndata Bygg'!X107+'Inndata Bygg'!Y107)*(1-Faktorer!$Z$58)*0.5)</f>
        <v>0</v>
      </c>
      <c r="AJ104" s="634"/>
      <c r="AK104" s="90">
        <f t="shared" si="3"/>
        <v>0</v>
      </c>
      <c r="AL104" s="91">
        <f>'Resultater detaljert Bygg'!N104</f>
        <v>0</v>
      </c>
      <c r="AM104" s="91" t="str">
        <f>IF(F104=0,"",('Inndata Bygg'!E107+'Inndata Bygg'!F107)*ROUNDDOWN('Inndata Bygg'!I107,0)*(1+'Inndata Bygg'!K107))</f>
        <v/>
      </c>
    </row>
    <row r="105" spans="2:39">
      <c r="B105" s="339">
        <f>'Inndata Bygg'!B108</f>
        <v>0</v>
      </c>
      <c r="C105" s="340">
        <f>'Inndata Bygg'!C108</f>
        <v>0</v>
      </c>
      <c r="D105" s="341">
        <f>'Inndata Bygg'!D108</f>
        <v>0</v>
      </c>
      <c r="E105" s="421" cm="1">
        <f t="array" ref="E105">SUM(IFERROR(F105:AD105,0))</f>
        <v>0</v>
      </c>
      <c r="F105" s="330">
        <f>'Inndata Bygg'!E108</f>
        <v>0</v>
      </c>
      <c r="G105" s="330">
        <f>IF('Inndata Bygg'!AB108="Ja", -0.8*'Resultater detaljert Bygg'!F105, 0)</f>
        <v>0</v>
      </c>
      <c r="H105" s="330">
        <f>IF('Inndata Bygg'!AC108="Ja", -0.4*'Resultater detaljert Bygg'!$F105, 0)</f>
        <v>0</v>
      </c>
      <c r="I105" s="330">
        <f>IF('Inndata Bygg'!AD108="Ja", -1*'Resultater detaljert Bygg'!$F105, 0)</f>
        <v>0</v>
      </c>
      <c r="J105" s="330">
        <f>'Inndata Bygg'!O108*'Inndata Bygg'!P108</f>
        <v>0</v>
      </c>
      <c r="K105" s="330">
        <f>MAX(-0.75*(SUM('Resultater detaljert Bygg'!F105:J105)),-'Inndata Bygg'!O108*'Inndata Bygg'!Q108)</f>
        <v>0</v>
      </c>
      <c r="L105" s="330">
        <f>'Inndata Bygg'!S108*'Inndata Bygg'!T108</f>
        <v>0</v>
      </c>
      <c r="M105" s="330">
        <f>MAX(-0.75*(SUM('Resultater detaljert Bygg'!F105:I105,L105)),-'Inndata Bygg'!S108*'Inndata Bygg'!U108)</f>
        <v>0</v>
      </c>
      <c r="N105" s="331">
        <f>'Inndata Bygg'!F108</f>
        <v>0</v>
      </c>
      <c r="O105" s="330">
        <f>'Inndata Bygg'!O108*'Inndata Bygg'!R108</f>
        <v>0</v>
      </c>
      <c r="P105" s="332">
        <f>'Inndata Bygg'!S108*'Inndata Bygg'!V108</f>
        <v>0</v>
      </c>
      <c r="Q105" s="493">
        <f>SUM(F105:J105,L105)*'Inndata Bygg'!K108</f>
        <v>0</v>
      </c>
      <c r="R105" s="333">
        <f>(K105+M105)*'Inndata Bygg'!K108</f>
        <v>0</v>
      </c>
      <c r="S105" s="493">
        <f>N105*'Inndata Bygg'!K108</f>
        <v>0</v>
      </c>
      <c r="T105" s="494">
        <f>'Inndata Bygg'!G108*'Inndata Bygg'!K108*Transport_utslipp_til_avfallshånderting_per_kg</f>
        <v>0</v>
      </c>
      <c r="U105" s="330">
        <f>IF('Inndata Bygg'!E108 = 0, 0, 1.833*'Inndata Bygg'!X108*'Inndata Bygg'!K108*('Inndata Bygg'!G108*('Inndata Bygg'!L108*0.5+'Inndata Bygg'!M108*0.8) + (12/44)*('Inndata Bygg'!O108*'Inndata Bygg'!Q108+'Inndata Bygg'!S108*'Inndata Bygg'!U108)))</f>
        <v>0</v>
      </c>
      <c r="V105" s="335" cm="1">
        <f t="array" ref="V105">CalculateBiogenicCarbonUptake('ZERO-B Beregning'!$D$17,'Inndata Bygg'!H108,'Inndata Bygg'!G108,'Inndata Bygg'!L108,F105,AB105,AC105,AD105)</f>
        <v>0</v>
      </c>
      <c r="W105" s="576" cm="1">
        <f t="array" ref="W105">CalculateCementCarbonUptake('ZERO-B Beregning'!$D$17,'Inndata Bygg'!H108,'Inndata Bygg'!G108,'Inndata Bygg'!N108)</f>
        <v>0</v>
      </c>
      <c r="X105" s="331" cm="1">
        <f t="array" ref="X105">IF(SUM(F105:J105,L105)=0, 0, SUM(F105:J105,L105)*(1+'Inndata Bygg'!K108)*IF('Inndata Bygg'!H108&gt;50, 0, _xlfn.XLOOKUP('Inndata Bygg'!H108, År_etter_ferdigstillelse, IF(VALUE(LEFT('Inndata Bygg'!B108, 2))= 49, f_tid_x_f_tek_d_0_037_kumulativ, f_tid_x_f_tek_d_0_01_kumulativ))))</f>
        <v>0</v>
      </c>
      <c r="Y105" s="330">
        <f>IF(X105=0, 0, SUM(K105,M105)*(1+'Inndata Bygg'!K108)*IF('Inndata Bygg'!H108&gt;50, 0, _xlfn.XLOOKUP('Inndata Bygg'!H108, År_etter_ferdigstillelse, f_tid_x_f_tek_d_0_01_kumulativ)))</f>
        <v>0</v>
      </c>
      <c r="Z105" s="336">
        <f>IF(X105=0, 0, SUM(N105:P105)*(1+'Inndata Bygg'!K108)*IF('Inndata Bygg'!H108&gt;50, 0, _xlfn.XLOOKUP('Inndata Bygg'!H108, År_etter_ferdigstillelse, f_tid_x_f_tek_d_0_01_kumulativ)))</f>
        <v>0</v>
      </c>
      <c r="AA105" s="336">
        <f>IF(X105=0, 0, ('Inndata Bygg'!G108+'Inndata Bygg'!O108+'Inndata Bygg'!S108)*(1+'Inndata Bygg'!K108)*Transport_utslipp_til_avfallshånderting_per_kg*IF('Inndata Bygg'!H108&gt;50, 0, _xlfn.XLOOKUP('Inndata Bygg'!H108, År_etter_ferdigstillelse, f_tid_x_f_tek_d_0_01_kumulativ)))</f>
        <v>0</v>
      </c>
      <c r="AB105" s="580" cm="1">
        <f t="array" ref="AB105">CalculateEmissionsFromIncinerationOfWaste('ZERO-B Beregning'!$D$17,'Inndata Bygg'!H108,'Inndata Bygg'!G108,'Inndata Bygg'!X108,'Inndata Bygg'!L108,'Inndata Bygg'!M108,'Inndata Bygg'!B108)</f>
        <v>0</v>
      </c>
      <c r="AC105" s="335">
        <f>IF(('Inndata Bygg'!G108+'Inndata Bygg'!O108+'Inndata Bygg'!S108) = 0, 0,('Inndata Bygg'!G108+'Inndata Bygg'!O108+'Inndata Bygg'!S108)*(('Inndata Bygg'!X108+'Inndata Bygg'!Y108+'Inndata Bygg'!AA108)*Transport_utslipp_til_avfallshånderting_per_kg+('Inndata Bygg'!Z108*'ZERO-B Beregning'!D207/1000)*IF('ZERO-B Beregning'!F208=0,'ZERO-B Beregning'!D208,'ZERO-B Beregning'!F208))*_xlfn.XLOOKUP(51, År_etter_ferdigstillelse, f_tid_x_f_tek_d_0_01))</f>
        <v>0</v>
      </c>
      <c r="AD105" s="577">
        <f>IF(('Inndata Bygg'!G108+'Inndata Bygg'!O108+'Inndata Bygg'!S108) = 0, 0,1.833*('Inndata Bygg'!G108*('Inndata Bygg'!L108*0.5+'Inndata Bygg'!M108*0.8)+'Inndata Bygg'!O108*'Inndata Bygg'!Q108+'Inndata Bygg'!S108*'Inndata Bygg'!U108)*AG105*_xlfn.XLOOKUP(51, År_etter_ferdigstillelse,  f_tid_x_f_tek_d_0_01))</f>
        <v>0</v>
      </c>
      <c r="AE105" s="575" cm="1">
        <f t="array" ref="AE105">CalculateEmissionsReductionFromReuse('ZERO-B Beregning'!$D$17,'Inndata Bygg'!H108,'Inndata Bygg'!G108,'Inndata Bygg'!Z108,'Inndata Bygg'!X108,'Inndata Bygg'!Y108,F105,'Inndata Bygg'!B108)</f>
        <v>0</v>
      </c>
      <c r="AF105" s="333" cm="1">
        <f t="array" ref="AF105">CalculateEmissionReductionFromRecycling('ZERO-B Beregning'!$D$17,'Inndata Bygg'!H108,'Inndata Bygg'!G108,'Inndata Bygg'!AA108,'Inndata Bygg'!X108,'Inndata Bygg'!Y108,F105,'Inndata Bygg'!B108)</f>
        <v>0</v>
      </c>
      <c r="AG105" s="572">
        <f>IF(('Inndata Bygg'!G108+'Inndata Bygg'!O108+'Inndata Bygg'!S108) = 0, 0,'Inndata Bygg'!X108*Faktorer!$Z$58)</f>
        <v>0</v>
      </c>
      <c r="AH105" s="573">
        <f>IF(('Inndata Bygg'!G108+'Inndata Bygg'!O108+'Inndata Bygg'!S108) = 0, 0,'Inndata Bygg'!Z108+('Inndata Bygg'!X108+'Inndata Bygg'!Y108)*(1-Faktorer!$Z$58)*0.5)</f>
        <v>0</v>
      </c>
      <c r="AI105" s="574">
        <f>IF(('Inndata Bygg'!G108+'Inndata Bygg'!O108+'Inndata Bygg'!S108) = 0, 0,'Inndata Bygg'!AA108+('Inndata Bygg'!X108+'Inndata Bygg'!Y108)*(1-Faktorer!$Z$58)*0.5)</f>
        <v>0</v>
      </c>
      <c r="AJ105" s="634"/>
      <c r="AK105" s="90">
        <f t="shared" si="3"/>
        <v>0</v>
      </c>
      <c r="AL105" s="91">
        <f>'Resultater detaljert Bygg'!N105</f>
        <v>0</v>
      </c>
      <c r="AM105" s="91" t="str">
        <f>IF(F105=0,"",('Inndata Bygg'!E108+'Inndata Bygg'!F108)*ROUNDDOWN('Inndata Bygg'!I108,0)*(1+'Inndata Bygg'!K108))</f>
        <v/>
      </c>
    </row>
    <row r="106" spans="2:39">
      <c r="B106" s="339">
        <f>'Inndata Bygg'!B109</f>
        <v>0</v>
      </c>
      <c r="C106" s="340">
        <f>'Inndata Bygg'!C109</f>
        <v>0</v>
      </c>
      <c r="D106" s="341">
        <f>'Inndata Bygg'!D109</f>
        <v>0</v>
      </c>
      <c r="E106" s="421" cm="1">
        <f t="array" ref="E106">SUM(IFERROR(F106:AD106,0))</f>
        <v>0</v>
      </c>
      <c r="F106" s="330">
        <f>'Inndata Bygg'!E109</f>
        <v>0</v>
      </c>
      <c r="G106" s="330">
        <f>IF('Inndata Bygg'!AB109="Ja", -0.8*'Resultater detaljert Bygg'!F106, 0)</f>
        <v>0</v>
      </c>
      <c r="H106" s="330">
        <f>IF('Inndata Bygg'!AC109="Ja", -0.4*'Resultater detaljert Bygg'!$F106, 0)</f>
        <v>0</v>
      </c>
      <c r="I106" s="330">
        <f>IF('Inndata Bygg'!AD109="Ja", -1*'Resultater detaljert Bygg'!$F106, 0)</f>
        <v>0</v>
      </c>
      <c r="J106" s="330">
        <f>'Inndata Bygg'!O109*'Inndata Bygg'!P109</f>
        <v>0</v>
      </c>
      <c r="K106" s="330">
        <f>MAX(-0.75*(SUM('Resultater detaljert Bygg'!F106:J106)),-'Inndata Bygg'!O109*'Inndata Bygg'!Q109)</f>
        <v>0</v>
      </c>
      <c r="L106" s="330">
        <f>'Inndata Bygg'!S109*'Inndata Bygg'!T109</f>
        <v>0</v>
      </c>
      <c r="M106" s="330">
        <f>MAX(-0.75*(SUM('Resultater detaljert Bygg'!F106:I106,L106)),-'Inndata Bygg'!S109*'Inndata Bygg'!U109)</f>
        <v>0</v>
      </c>
      <c r="N106" s="331">
        <f>'Inndata Bygg'!F109</f>
        <v>0</v>
      </c>
      <c r="O106" s="330">
        <f>'Inndata Bygg'!O109*'Inndata Bygg'!R109</f>
        <v>0</v>
      </c>
      <c r="P106" s="332">
        <f>'Inndata Bygg'!S109*'Inndata Bygg'!V109</f>
        <v>0</v>
      </c>
      <c r="Q106" s="493">
        <f>SUM(F106:J106,L106)*'Inndata Bygg'!K109</f>
        <v>0</v>
      </c>
      <c r="R106" s="333">
        <f>(K106+M106)*'Inndata Bygg'!K109</f>
        <v>0</v>
      </c>
      <c r="S106" s="493">
        <f>N106*'Inndata Bygg'!K109</f>
        <v>0</v>
      </c>
      <c r="T106" s="494">
        <f>'Inndata Bygg'!G109*'Inndata Bygg'!K109*Transport_utslipp_til_avfallshånderting_per_kg</f>
        <v>0</v>
      </c>
      <c r="U106" s="330">
        <f>IF('Inndata Bygg'!E109 = 0, 0, 1.833*'Inndata Bygg'!X109*'Inndata Bygg'!K109*('Inndata Bygg'!G109*('Inndata Bygg'!L109*0.5+'Inndata Bygg'!M109*0.8) + (12/44)*('Inndata Bygg'!O109*'Inndata Bygg'!Q109+'Inndata Bygg'!S109*'Inndata Bygg'!U109)))</f>
        <v>0</v>
      </c>
      <c r="V106" s="335" cm="1">
        <f t="array" ref="V106">CalculateBiogenicCarbonUptake('ZERO-B Beregning'!$D$17,'Inndata Bygg'!H109,'Inndata Bygg'!G109,'Inndata Bygg'!L109,F106,AB106,AC106,AD106)</f>
        <v>0</v>
      </c>
      <c r="W106" s="576" cm="1">
        <f t="array" ref="W106">CalculateCementCarbonUptake('ZERO-B Beregning'!$D$17,'Inndata Bygg'!H109,'Inndata Bygg'!G109,'Inndata Bygg'!N109)</f>
        <v>0</v>
      </c>
      <c r="X106" s="331" cm="1">
        <f t="array" ref="X106">IF(SUM(F106:J106,L106)=0, 0, SUM(F106:J106,L106)*(1+'Inndata Bygg'!K109)*IF('Inndata Bygg'!H109&gt;50, 0, _xlfn.XLOOKUP('Inndata Bygg'!H109, År_etter_ferdigstillelse, IF(VALUE(LEFT('Inndata Bygg'!B109, 2))= 49, f_tid_x_f_tek_d_0_037_kumulativ, f_tid_x_f_tek_d_0_01_kumulativ))))</f>
        <v>0</v>
      </c>
      <c r="Y106" s="330">
        <f>IF(X106=0, 0, SUM(K106,M106)*(1+'Inndata Bygg'!K109)*IF('Inndata Bygg'!H109&gt;50, 0, _xlfn.XLOOKUP('Inndata Bygg'!H109, År_etter_ferdigstillelse, f_tid_x_f_tek_d_0_01_kumulativ)))</f>
        <v>0</v>
      </c>
      <c r="Z106" s="336">
        <f>IF(X106=0, 0, SUM(N106:P106)*(1+'Inndata Bygg'!K109)*IF('Inndata Bygg'!H109&gt;50, 0, _xlfn.XLOOKUP('Inndata Bygg'!H109, År_etter_ferdigstillelse, f_tid_x_f_tek_d_0_01_kumulativ)))</f>
        <v>0</v>
      </c>
      <c r="AA106" s="336">
        <f>IF(X106=0, 0, ('Inndata Bygg'!G109+'Inndata Bygg'!O109+'Inndata Bygg'!S109)*(1+'Inndata Bygg'!K109)*Transport_utslipp_til_avfallshånderting_per_kg*IF('Inndata Bygg'!H109&gt;50, 0, _xlfn.XLOOKUP('Inndata Bygg'!H109, År_etter_ferdigstillelse, f_tid_x_f_tek_d_0_01_kumulativ)))</f>
        <v>0</v>
      </c>
      <c r="AB106" s="580" cm="1">
        <f t="array" ref="AB106">CalculateEmissionsFromIncinerationOfWaste('ZERO-B Beregning'!$D$17,'Inndata Bygg'!H109,'Inndata Bygg'!G109,'Inndata Bygg'!X109,'Inndata Bygg'!L109,'Inndata Bygg'!M109,'Inndata Bygg'!B109)</f>
        <v>0</v>
      </c>
      <c r="AC106" s="335">
        <f>IF(('Inndata Bygg'!G109+'Inndata Bygg'!O109+'Inndata Bygg'!S109) = 0, 0,('Inndata Bygg'!G109+'Inndata Bygg'!O109+'Inndata Bygg'!S109)*(('Inndata Bygg'!X109+'Inndata Bygg'!Y109+'Inndata Bygg'!AA109)*Transport_utslipp_til_avfallshånderting_per_kg+('Inndata Bygg'!Z109*'ZERO-B Beregning'!D208/1000)*IF('ZERO-B Beregning'!F209=0,'ZERO-B Beregning'!D209,'ZERO-B Beregning'!F209))*_xlfn.XLOOKUP(51, År_etter_ferdigstillelse, f_tid_x_f_tek_d_0_01))</f>
        <v>0</v>
      </c>
      <c r="AD106" s="577">
        <f>IF(('Inndata Bygg'!G109+'Inndata Bygg'!O109+'Inndata Bygg'!S109) = 0, 0,1.833*('Inndata Bygg'!G109*('Inndata Bygg'!L109*0.5+'Inndata Bygg'!M109*0.8)+'Inndata Bygg'!O109*'Inndata Bygg'!Q109+'Inndata Bygg'!S109*'Inndata Bygg'!U109)*AG106*_xlfn.XLOOKUP(51, År_etter_ferdigstillelse,  f_tid_x_f_tek_d_0_01))</f>
        <v>0</v>
      </c>
      <c r="AE106" s="575" cm="1">
        <f t="array" ref="AE106">CalculateEmissionsReductionFromReuse('ZERO-B Beregning'!$D$17,'Inndata Bygg'!H109,'Inndata Bygg'!G109,'Inndata Bygg'!Z109,'Inndata Bygg'!X109,'Inndata Bygg'!Y109,F106,'Inndata Bygg'!B109)</f>
        <v>0</v>
      </c>
      <c r="AF106" s="333" cm="1">
        <f t="array" ref="AF106">CalculateEmissionReductionFromRecycling('ZERO-B Beregning'!$D$17,'Inndata Bygg'!H109,'Inndata Bygg'!G109,'Inndata Bygg'!AA109,'Inndata Bygg'!X109,'Inndata Bygg'!Y109,F106,'Inndata Bygg'!B109)</f>
        <v>0</v>
      </c>
      <c r="AG106" s="572">
        <f>IF(('Inndata Bygg'!G109+'Inndata Bygg'!O109+'Inndata Bygg'!S109) = 0, 0,'Inndata Bygg'!X109*Faktorer!$Z$58)</f>
        <v>0</v>
      </c>
      <c r="AH106" s="573">
        <f>IF(('Inndata Bygg'!G109+'Inndata Bygg'!O109+'Inndata Bygg'!S109) = 0, 0,'Inndata Bygg'!Z109+('Inndata Bygg'!X109+'Inndata Bygg'!Y109)*(1-Faktorer!$Z$58)*0.5)</f>
        <v>0</v>
      </c>
      <c r="AI106" s="574">
        <f>IF(('Inndata Bygg'!G109+'Inndata Bygg'!O109+'Inndata Bygg'!S109) = 0, 0,'Inndata Bygg'!AA109+('Inndata Bygg'!X109+'Inndata Bygg'!Y109)*(1-Faktorer!$Z$58)*0.5)</f>
        <v>0</v>
      </c>
      <c r="AJ106" s="634"/>
      <c r="AK106" s="90">
        <f t="shared" si="3"/>
        <v>0</v>
      </c>
      <c r="AL106" s="91">
        <f>'Resultater detaljert Bygg'!N106</f>
        <v>0</v>
      </c>
      <c r="AM106" s="91" t="str">
        <f>IF(F106=0,"",('Inndata Bygg'!E109+'Inndata Bygg'!F109)*ROUNDDOWN('Inndata Bygg'!I109,0)*(1+'Inndata Bygg'!K109))</f>
        <v/>
      </c>
    </row>
    <row r="107" spans="2:39">
      <c r="B107" s="339">
        <f>'Inndata Bygg'!B110</f>
        <v>0</v>
      </c>
      <c r="C107" s="340">
        <f>'Inndata Bygg'!C110</f>
        <v>0</v>
      </c>
      <c r="D107" s="341">
        <f>'Inndata Bygg'!D110</f>
        <v>0</v>
      </c>
      <c r="E107" s="421" cm="1">
        <f t="array" ref="E107">SUM(IFERROR(F107:AD107,0))</f>
        <v>0</v>
      </c>
      <c r="F107" s="330">
        <f>'Inndata Bygg'!E110</f>
        <v>0</v>
      </c>
      <c r="G107" s="330">
        <f>IF('Inndata Bygg'!AB110="Ja", -0.8*'Resultater detaljert Bygg'!F107, 0)</f>
        <v>0</v>
      </c>
      <c r="H107" s="330">
        <f>IF('Inndata Bygg'!AC110="Ja", -0.4*'Resultater detaljert Bygg'!$F107, 0)</f>
        <v>0</v>
      </c>
      <c r="I107" s="330">
        <f>IF('Inndata Bygg'!AD110="Ja", -1*'Resultater detaljert Bygg'!$F107, 0)</f>
        <v>0</v>
      </c>
      <c r="J107" s="330">
        <f>'Inndata Bygg'!O110*'Inndata Bygg'!P110</f>
        <v>0</v>
      </c>
      <c r="K107" s="330">
        <f>MAX(-0.75*(SUM('Resultater detaljert Bygg'!F107:J107)),-'Inndata Bygg'!O110*'Inndata Bygg'!Q110)</f>
        <v>0</v>
      </c>
      <c r="L107" s="330">
        <f>'Inndata Bygg'!S110*'Inndata Bygg'!T110</f>
        <v>0</v>
      </c>
      <c r="M107" s="330">
        <f>MAX(-0.75*(SUM('Resultater detaljert Bygg'!F107:I107,L107)),-'Inndata Bygg'!S110*'Inndata Bygg'!U110)</f>
        <v>0</v>
      </c>
      <c r="N107" s="331">
        <f>'Inndata Bygg'!F110</f>
        <v>0</v>
      </c>
      <c r="O107" s="330">
        <f>'Inndata Bygg'!O110*'Inndata Bygg'!R110</f>
        <v>0</v>
      </c>
      <c r="P107" s="332">
        <f>'Inndata Bygg'!S110*'Inndata Bygg'!V110</f>
        <v>0</v>
      </c>
      <c r="Q107" s="493">
        <f>SUM(F107:J107,L107)*'Inndata Bygg'!K110</f>
        <v>0</v>
      </c>
      <c r="R107" s="333">
        <f>(K107+M107)*'Inndata Bygg'!K110</f>
        <v>0</v>
      </c>
      <c r="S107" s="493">
        <f>N107*'Inndata Bygg'!K110</f>
        <v>0</v>
      </c>
      <c r="T107" s="494">
        <f>'Inndata Bygg'!G110*'Inndata Bygg'!K110*Transport_utslipp_til_avfallshånderting_per_kg</f>
        <v>0</v>
      </c>
      <c r="U107" s="330">
        <f>IF('Inndata Bygg'!E110 = 0, 0, 1.833*'Inndata Bygg'!X110*'Inndata Bygg'!K110*('Inndata Bygg'!G110*('Inndata Bygg'!L110*0.5+'Inndata Bygg'!M110*0.8) + (12/44)*('Inndata Bygg'!O110*'Inndata Bygg'!Q110+'Inndata Bygg'!S110*'Inndata Bygg'!U110)))</f>
        <v>0</v>
      </c>
      <c r="V107" s="335" cm="1">
        <f t="array" ref="V107">CalculateBiogenicCarbonUptake('ZERO-B Beregning'!$D$17,'Inndata Bygg'!H110,'Inndata Bygg'!G110,'Inndata Bygg'!L110,F107,AB107,AC107,AD107)</f>
        <v>0</v>
      </c>
      <c r="W107" s="576" cm="1">
        <f t="array" ref="W107">CalculateCementCarbonUptake('ZERO-B Beregning'!$D$17,'Inndata Bygg'!H110,'Inndata Bygg'!G110,'Inndata Bygg'!N110)</f>
        <v>0</v>
      </c>
      <c r="X107" s="331" cm="1">
        <f t="array" ref="X107">IF(SUM(F107:J107,L107)=0, 0, SUM(F107:J107,L107)*(1+'Inndata Bygg'!K110)*IF('Inndata Bygg'!H110&gt;50, 0, _xlfn.XLOOKUP('Inndata Bygg'!H110, År_etter_ferdigstillelse, IF(VALUE(LEFT('Inndata Bygg'!B110, 2))= 49, f_tid_x_f_tek_d_0_037_kumulativ, f_tid_x_f_tek_d_0_01_kumulativ))))</f>
        <v>0</v>
      </c>
      <c r="Y107" s="330">
        <f>IF(X107=0, 0, SUM(K107,M107)*(1+'Inndata Bygg'!K110)*IF('Inndata Bygg'!H110&gt;50, 0, _xlfn.XLOOKUP('Inndata Bygg'!H110, År_etter_ferdigstillelse, f_tid_x_f_tek_d_0_01_kumulativ)))</f>
        <v>0</v>
      </c>
      <c r="Z107" s="336">
        <f>IF(X107=0, 0, SUM(N107:P107)*(1+'Inndata Bygg'!K110)*IF('Inndata Bygg'!H110&gt;50, 0, _xlfn.XLOOKUP('Inndata Bygg'!H110, År_etter_ferdigstillelse, f_tid_x_f_tek_d_0_01_kumulativ)))</f>
        <v>0</v>
      </c>
      <c r="AA107" s="336">
        <f>IF(X107=0, 0, ('Inndata Bygg'!G110+'Inndata Bygg'!O110+'Inndata Bygg'!S110)*(1+'Inndata Bygg'!K110)*Transport_utslipp_til_avfallshånderting_per_kg*IF('Inndata Bygg'!H110&gt;50, 0, _xlfn.XLOOKUP('Inndata Bygg'!H110, År_etter_ferdigstillelse, f_tid_x_f_tek_d_0_01_kumulativ)))</f>
        <v>0</v>
      </c>
      <c r="AB107" s="580" cm="1">
        <f t="array" ref="AB107">CalculateEmissionsFromIncinerationOfWaste('ZERO-B Beregning'!$D$17,'Inndata Bygg'!H110,'Inndata Bygg'!G110,'Inndata Bygg'!X110,'Inndata Bygg'!L110,'Inndata Bygg'!M110,'Inndata Bygg'!B110)</f>
        <v>0</v>
      </c>
      <c r="AC107" s="335">
        <f>IF(('Inndata Bygg'!G110+'Inndata Bygg'!O110+'Inndata Bygg'!S110) = 0, 0,('Inndata Bygg'!G110+'Inndata Bygg'!O110+'Inndata Bygg'!S110)*(('Inndata Bygg'!X110+'Inndata Bygg'!Y110+'Inndata Bygg'!AA110)*Transport_utslipp_til_avfallshånderting_per_kg+('Inndata Bygg'!Z110*'ZERO-B Beregning'!D209/1000)*IF('ZERO-B Beregning'!F210=0,'ZERO-B Beregning'!D210,'ZERO-B Beregning'!F210))*_xlfn.XLOOKUP(51, År_etter_ferdigstillelse, f_tid_x_f_tek_d_0_01))</f>
        <v>0</v>
      </c>
      <c r="AD107" s="577">
        <f>IF(('Inndata Bygg'!G110+'Inndata Bygg'!O110+'Inndata Bygg'!S110) = 0, 0,1.833*('Inndata Bygg'!G110*('Inndata Bygg'!L110*0.5+'Inndata Bygg'!M110*0.8)+'Inndata Bygg'!O110*'Inndata Bygg'!Q110+'Inndata Bygg'!S110*'Inndata Bygg'!U110)*AG107*_xlfn.XLOOKUP(51, År_etter_ferdigstillelse,  f_tid_x_f_tek_d_0_01))</f>
        <v>0</v>
      </c>
      <c r="AE107" s="575" cm="1">
        <f t="array" ref="AE107">CalculateEmissionsReductionFromReuse('ZERO-B Beregning'!$D$17,'Inndata Bygg'!H110,'Inndata Bygg'!G110,'Inndata Bygg'!Z110,'Inndata Bygg'!X110,'Inndata Bygg'!Y110,F107,'Inndata Bygg'!B110)</f>
        <v>0</v>
      </c>
      <c r="AF107" s="333" cm="1">
        <f t="array" ref="AF107">CalculateEmissionReductionFromRecycling('ZERO-B Beregning'!$D$17,'Inndata Bygg'!H110,'Inndata Bygg'!G110,'Inndata Bygg'!AA110,'Inndata Bygg'!X110,'Inndata Bygg'!Y110,F107,'Inndata Bygg'!B110)</f>
        <v>0</v>
      </c>
      <c r="AG107" s="572">
        <f>IF(('Inndata Bygg'!G110+'Inndata Bygg'!O110+'Inndata Bygg'!S110) = 0, 0,'Inndata Bygg'!X110*Faktorer!$Z$58)</f>
        <v>0</v>
      </c>
      <c r="AH107" s="573">
        <f>IF(('Inndata Bygg'!G110+'Inndata Bygg'!O110+'Inndata Bygg'!S110) = 0, 0,'Inndata Bygg'!Z110+('Inndata Bygg'!X110+'Inndata Bygg'!Y110)*(1-Faktorer!$Z$58)*0.5)</f>
        <v>0</v>
      </c>
      <c r="AI107" s="574">
        <f>IF(('Inndata Bygg'!G110+'Inndata Bygg'!O110+'Inndata Bygg'!S110) = 0, 0,'Inndata Bygg'!AA110+('Inndata Bygg'!X110+'Inndata Bygg'!Y110)*(1-Faktorer!$Z$58)*0.5)</f>
        <v>0</v>
      </c>
      <c r="AJ107" s="634"/>
      <c r="AK107" s="90">
        <f t="shared" si="3"/>
        <v>0</v>
      </c>
      <c r="AL107" s="91">
        <f>'Resultater detaljert Bygg'!N107</f>
        <v>0</v>
      </c>
      <c r="AM107" s="91" t="str">
        <f>IF(F107=0,"",('Inndata Bygg'!E110+'Inndata Bygg'!F110)*ROUNDDOWN('Inndata Bygg'!I110,0)*(1+'Inndata Bygg'!K110))</f>
        <v/>
      </c>
    </row>
    <row r="108" spans="2:39">
      <c r="B108" s="339">
        <f>'Inndata Bygg'!B111</f>
        <v>0</v>
      </c>
      <c r="C108" s="340">
        <f>'Inndata Bygg'!C111</f>
        <v>0</v>
      </c>
      <c r="D108" s="341">
        <f>'Inndata Bygg'!D111</f>
        <v>0</v>
      </c>
      <c r="E108" s="421" cm="1">
        <f t="array" ref="E108">SUM(IFERROR(F108:AD108,0))</f>
        <v>0</v>
      </c>
      <c r="F108" s="330">
        <f>'Inndata Bygg'!E111</f>
        <v>0</v>
      </c>
      <c r="G108" s="330">
        <f>IF('Inndata Bygg'!AB111="Ja", -0.8*'Resultater detaljert Bygg'!F108, 0)</f>
        <v>0</v>
      </c>
      <c r="H108" s="330">
        <f>IF('Inndata Bygg'!AC111="Ja", -0.4*'Resultater detaljert Bygg'!$F108, 0)</f>
        <v>0</v>
      </c>
      <c r="I108" s="330">
        <f>IF('Inndata Bygg'!AD111="Ja", -1*'Resultater detaljert Bygg'!$F108, 0)</f>
        <v>0</v>
      </c>
      <c r="J108" s="330">
        <f>'Inndata Bygg'!O111*'Inndata Bygg'!P111</f>
        <v>0</v>
      </c>
      <c r="K108" s="330">
        <f>MAX(-0.75*(SUM('Resultater detaljert Bygg'!F108:J108)),-'Inndata Bygg'!O111*'Inndata Bygg'!Q111)</f>
        <v>0</v>
      </c>
      <c r="L108" s="330">
        <f>'Inndata Bygg'!S111*'Inndata Bygg'!T111</f>
        <v>0</v>
      </c>
      <c r="M108" s="330">
        <f>MAX(-0.75*(SUM('Resultater detaljert Bygg'!F108:I108,L108)),-'Inndata Bygg'!S111*'Inndata Bygg'!U111)</f>
        <v>0</v>
      </c>
      <c r="N108" s="331">
        <f>'Inndata Bygg'!F111</f>
        <v>0</v>
      </c>
      <c r="O108" s="330">
        <f>'Inndata Bygg'!O111*'Inndata Bygg'!R111</f>
        <v>0</v>
      </c>
      <c r="P108" s="332">
        <f>'Inndata Bygg'!S111*'Inndata Bygg'!V111</f>
        <v>0</v>
      </c>
      <c r="Q108" s="493">
        <f>SUM(F108:J108,L108)*'Inndata Bygg'!K111</f>
        <v>0</v>
      </c>
      <c r="R108" s="333">
        <f>(K108+M108)*'Inndata Bygg'!K111</f>
        <v>0</v>
      </c>
      <c r="S108" s="493">
        <f>N108*'Inndata Bygg'!K111</f>
        <v>0</v>
      </c>
      <c r="T108" s="494">
        <f>'Inndata Bygg'!G111*'Inndata Bygg'!K111*Transport_utslipp_til_avfallshånderting_per_kg</f>
        <v>0</v>
      </c>
      <c r="U108" s="330">
        <f>IF('Inndata Bygg'!E111 = 0, 0, 1.833*'Inndata Bygg'!X111*'Inndata Bygg'!K111*('Inndata Bygg'!G111*('Inndata Bygg'!L111*0.5+'Inndata Bygg'!M111*0.8) + (12/44)*('Inndata Bygg'!O111*'Inndata Bygg'!Q111+'Inndata Bygg'!S111*'Inndata Bygg'!U111)))</f>
        <v>0</v>
      </c>
      <c r="V108" s="335" cm="1">
        <f t="array" ref="V108">CalculateBiogenicCarbonUptake('ZERO-B Beregning'!$D$17,'Inndata Bygg'!H111,'Inndata Bygg'!G111,'Inndata Bygg'!L111,F108,AB108,AC108,AD108)</f>
        <v>0</v>
      </c>
      <c r="W108" s="576" cm="1">
        <f t="array" ref="W108">CalculateCementCarbonUptake('ZERO-B Beregning'!$D$17,'Inndata Bygg'!H111,'Inndata Bygg'!G111,'Inndata Bygg'!N111)</f>
        <v>0</v>
      </c>
      <c r="X108" s="331" cm="1">
        <f t="array" ref="X108">IF(SUM(F108:J108,L108)=0, 0, SUM(F108:J108,L108)*(1+'Inndata Bygg'!K111)*IF('Inndata Bygg'!H111&gt;50, 0, _xlfn.XLOOKUP('Inndata Bygg'!H111, År_etter_ferdigstillelse, IF(VALUE(LEFT('Inndata Bygg'!B111, 2))= 49, f_tid_x_f_tek_d_0_037_kumulativ, f_tid_x_f_tek_d_0_01_kumulativ))))</f>
        <v>0</v>
      </c>
      <c r="Y108" s="330">
        <f>IF(X108=0, 0, SUM(K108,M108)*(1+'Inndata Bygg'!K111)*IF('Inndata Bygg'!H111&gt;50, 0, _xlfn.XLOOKUP('Inndata Bygg'!H111, År_etter_ferdigstillelse, f_tid_x_f_tek_d_0_01_kumulativ)))</f>
        <v>0</v>
      </c>
      <c r="Z108" s="336">
        <f>IF(X108=0, 0, SUM(N108:P108)*(1+'Inndata Bygg'!K111)*IF('Inndata Bygg'!H111&gt;50, 0, _xlfn.XLOOKUP('Inndata Bygg'!H111, År_etter_ferdigstillelse, f_tid_x_f_tek_d_0_01_kumulativ)))</f>
        <v>0</v>
      </c>
      <c r="AA108" s="336">
        <f>IF(X108=0, 0, ('Inndata Bygg'!G111+'Inndata Bygg'!O111+'Inndata Bygg'!S111)*(1+'Inndata Bygg'!K111)*Transport_utslipp_til_avfallshånderting_per_kg*IF('Inndata Bygg'!H111&gt;50, 0, _xlfn.XLOOKUP('Inndata Bygg'!H111, År_etter_ferdigstillelse, f_tid_x_f_tek_d_0_01_kumulativ)))</f>
        <v>0</v>
      </c>
      <c r="AB108" s="580" cm="1">
        <f t="array" ref="AB108">CalculateEmissionsFromIncinerationOfWaste('ZERO-B Beregning'!$D$17,'Inndata Bygg'!H111,'Inndata Bygg'!G111,'Inndata Bygg'!X111,'Inndata Bygg'!L111,'Inndata Bygg'!M111,'Inndata Bygg'!B111)</f>
        <v>0</v>
      </c>
      <c r="AC108" s="335">
        <f>IF(('Inndata Bygg'!G111+'Inndata Bygg'!O111+'Inndata Bygg'!S111) = 0, 0,('Inndata Bygg'!G111+'Inndata Bygg'!O111+'Inndata Bygg'!S111)*(('Inndata Bygg'!X111+'Inndata Bygg'!Y111+'Inndata Bygg'!AA111)*Transport_utslipp_til_avfallshånderting_per_kg+('Inndata Bygg'!Z111*'ZERO-B Beregning'!D210/1000)*IF('ZERO-B Beregning'!F211=0,'ZERO-B Beregning'!D211,'ZERO-B Beregning'!F211))*_xlfn.XLOOKUP(51, År_etter_ferdigstillelse, f_tid_x_f_tek_d_0_01))</f>
        <v>0</v>
      </c>
      <c r="AD108" s="577">
        <f>IF(('Inndata Bygg'!G111+'Inndata Bygg'!O111+'Inndata Bygg'!S111) = 0, 0,1.833*('Inndata Bygg'!G111*('Inndata Bygg'!L111*0.5+'Inndata Bygg'!M111*0.8)+'Inndata Bygg'!O111*'Inndata Bygg'!Q111+'Inndata Bygg'!S111*'Inndata Bygg'!U111)*AG108*_xlfn.XLOOKUP(51, År_etter_ferdigstillelse,  f_tid_x_f_tek_d_0_01))</f>
        <v>0</v>
      </c>
      <c r="AE108" s="575" cm="1">
        <f t="array" ref="AE108">CalculateEmissionsReductionFromReuse('ZERO-B Beregning'!$D$17,'Inndata Bygg'!H111,'Inndata Bygg'!G111,'Inndata Bygg'!Z111,'Inndata Bygg'!X111,'Inndata Bygg'!Y111,F108,'Inndata Bygg'!B111)</f>
        <v>0</v>
      </c>
      <c r="AF108" s="333" cm="1">
        <f t="array" ref="AF108">CalculateEmissionReductionFromRecycling('ZERO-B Beregning'!$D$17,'Inndata Bygg'!H111,'Inndata Bygg'!G111,'Inndata Bygg'!AA111,'Inndata Bygg'!X111,'Inndata Bygg'!Y111,F108,'Inndata Bygg'!B111)</f>
        <v>0</v>
      </c>
      <c r="AG108" s="572">
        <f>IF(('Inndata Bygg'!G111+'Inndata Bygg'!O111+'Inndata Bygg'!S111) = 0, 0,'Inndata Bygg'!X111*Faktorer!$Z$58)</f>
        <v>0</v>
      </c>
      <c r="AH108" s="573">
        <f>IF(('Inndata Bygg'!G111+'Inndata Bygg'!O111+'Inndata Bygg'!S111) = 0, 0,'Inndata Bygg'!Z111+('Inndata Bygg'!X111+'Inndata Bygg'!Y111)*(1-Faktorer!$Z$58)*0.5)</f>
        <v>0</v>
      </c>
      <c r="AI108" s="574">
        <f>IF(('Inndata Bygg'!G111+'Inndata Bygg'!O111+'Inndata Bygg'!S111) = 0, 0,'Inndata Bygg'!AA111+('Inndata Bygg'!X111+'Inndata Bygg'!Y111)*(1-Faktorer!$Z$58)*0.5)</f>
        <v>0</v>
      </c>
      <c r="AJ108" s="634"/>
      <c r="AK108" s="90">
        <f t="shared" si="3"/>
        <v>0</v>
      </c>
      <c r="AL108" s="91">
        <f>'Resultater detaljert Bygg'!N108</f>
        <v>0</v>
      </c>
      <c r="AM108" s="91" t="str">
        <f>IF(F108=0,"",('Inndata Bygg'!E111+'Inndata Bygg'!F111)*ROUNDDOWN('Inndata Bygg'!I111,0)*(1+'Inndata Bygg'!K111))</f>
        <v/>
      </c>
    </row>
    <row r="109" spans="2:39">
      <c r="B109" s="339">
        <f>'Inndata Bygg'!B112</f>
        <v>0</v>
      </c>
      <c r="C109" s="340">
        <f>'Inndata Bygg'!C112</f>
        <v>0</v>
      </c>
      <c r="D109" s="341">
        <f>'Inndata Bygg'!D112</f>
        <v>0</v>
      </c>
      <c r="E109" s="421" cm="1">
        <f t="array" ref="E109">SUM(IFERROR(F109:AD109,0))</f>
        <v>0</v>
      </c>
      <c r="F109" s="330">
        <f>'Inndata Bygg'!E112</f>
        <v>0</v>
      </c>
      <c r="G109" s="330">
        <f>IF('Inndata Bygg'!AB112="Ja", -0.8*'Resultater detaljert Bygg'!F109, 0)</f>
        <v>0</v>
      </c>
      <c r="H109" s="330">
        <f>IF('Inndata Bygg'!AC112="Ja", -0.4*'Resultater detaljert Bygg'!$F109, 0)</f>
        <v>0</v>
      </c>
      <c r="I109" s="330">
        <f>IF('Inndata Bygg'!AD112="Ja", -1*'Resultater detaljert Bygg'!$F109, 0)</f>
        <v>0</v>
      </c>
      <c r="J109" s="330">
        <f>'Inndata Bygg'!O112*'Inndata Bygg'!P112</f>
        <v>0</v>
      </c>
      <c r="K109" s="330">
        <f>MAX(-0.75*(SUM('Resultater detaljert Bygg'!F109:J109)),-'Inndata Bygg'!O112*'Inndata Bygg'!Q112)</f>
        <v>0</v>
      </c>
      <c r="L109" s="330">
        <f>'Inndata Bygg'!S112*'Inndata Bygg'!T112</f>
        <v>0</v>
      </c>
      <c r="M109" s="330">
        <f>MAX(-0.75*(SUM('Resultater detaljert Bygg'!F109:I109,L109)),-'Inndata Bygg'!S112*'Inndata Bygg'!U112)</f>
        <v>0</v>
      </c>
      <c r="N109" s="331">
        <f>'Inndata Bygg'!F112</f>
        <v>0</v>
      </c>
      <c r="O109" s="330">
        <f>'Inndata Bygg'!O112*'Inndata Bygg'!R112</f>
        <v>0</v>
      </c>
      <c r="P109" s="332">
        <f>'Inndata Bygg'!S112*'Inndata Bygg'!V112</f>
        <v>0</v>
      </c>
      <c r="Q109" s="493">
        <f>SUM(F109:J109,L109)*'Inndata Bygg'!K112</f>
        <v>0</v>
      </c>
      <c r="R109" s="333">
        <f>(K109+M109)*'Inndata Bygg'!K112</f>
        <v>0</v>
      </c>
      <c r="S109" s="493">
        <f>N109*'Inndata Bygg'!K112</f>
        <v>0</v>
      </c>
      <c r="T109" s="494">
        <f>'Inndata Bygg'!G112*'Inndata Bygg'!K112*Transport_utslipp_til_avfallshånderting_per_kg</f>
        <v>0</v>
      </c>
      <c r="U109" s="330">
        <f>IF('Inndata Bygg'!E112 = 0, 0, 1.833*'Inndata Bygg'!X112*'Inndata Bygg'!K112*('Inndata Bygg'!G112*('Inndata Bygg'!L112*0.5+'Inndata Bygg'!M112*0.8) + (12/44)*('Inndata Bygg'!O112*'Inndata Bygg'!Q112+'Inndata Bygg'!S112*'Inndata Bygg'!U112)))</f>
        <v>0</v>
      </c>
      <c r="V109" s="335" cm="1">
        <f t="array" ref="V109">CalculateBiogenicCarbonUptake('ZERO-B Beregning'!$D$17,'Inndata Bygg'!H112,'Inndata Bygg'!G112,'Inndata Bygg'!L112,F109,AB109,AC109,AD109)</f>
        <v>0</v>
      </c>
      <c r="W109" s="576" cm="1">
        <f t="array" ref="W109">CalculateCementCarbonUptake('ZERO-B Beregning'!$D$17,'Inndata Bygg'!H112,'Inndata Bygg'!G112,'Inndata Bygg'!N112)</f>
        <v>0</v>
      </c>
      <c r="X109" s="331" cm="1">
        <f t="array" ref="X109">IF(SUM(F109:J109,L109)=0, 0, SUM(F109:J109,L109)*(1+'Inndata Bygg'!K112)*IF('Inndata Bygg'!H112&gt;50, 0, _xlfn.XLOOKUP('Inndata Bygg'!H112, År_etter_ferdigstillelse, IF(VALUE(LEFT('Inndata Bygg'!B112, 2))= 49, f_tid_x_f_tek_d_0_037_kumulativ, f_tid_x_f_tek_d_0_01_kumulativ))))</f>
        <v>0</v>
      </c>
      <c r="Y109" s="330">
        <f>IF(X109=0, 0, SUM(K109,M109)*(1+'Inndata Bygg'!K112)*IF('Inndata Bygg'!H112&gt;50, 0, _xlfn.XLOOKUP('Inndata Bygg'!H112, År_etter_ferdigstillelse, f_tid_x_f_tek_d_0_01_kumulativ)))</f>
        <v>0</v>
      </c>
      <c r="Z109" s="336">
        <f>IF(X109=0, 0, SUM(N109:P109)*(1+'Inndata Bygg'!K112)*IF('Inndata Bygg'!H112&gt;50, 0, _xlfn.XLOOKUP('Inndata Bygg'!H112, År_etter_ferdigstillelse, f_tid_x_f_tek_d_0_01_kumulativ)))</f>
        <v>0</v>
      </c>
      <c r="AA109" s="336">
        <f>IF(X109=0, 0, ('Inndata Bygg'!G112+'Inndata Bygg'!O112+'Inndata Bygg'!S112)*(1+'Inndata Bygg'!K112)*Transport_utslipp_til_avfallshånderting_per_kg*IF('Inndata Bygg'!H112&gt;50, 0, _xlfn.XLOOKUP('Inndata Bygg'!H112, År_etter_ferdigstillelse, f_tid_x_f_tek_d_0_01_kumulativ)))</f>
        <v>0</v>
      </c>
      <c r="AB109" s="580" cm="1">
        <f t="array" ref="AB109">CalculateEmissionsFromIncinerationOfWaste('ZERO-B Beregning'!$D$17,'Inndata Bygg'!H112,'Inndata Bygg'!G112,'Inndata Bygg'!X112,'Inndata Bygg'!L112,'Inndata Bygg'!M112,'Inndata Bygg'!B112)</f>
        <v>0</v>
      </c>
      <c r="AC109" s="335">
        <f>IF(('Inndata Bygg'!G112+'Inndata Bygg'!O112+'Inndata Bygg'!S112) = 0, 0,('Inndata Bygg'!G112+'Inndata Bygg'!O112+'Inndata Bygg'!S112)*(('Inndata Bygg'!X112+'Inndata Bygg'!Y112+'Inndata Bygg'!AA112)*Transport_utslipp_til_avfallshånderting_per_kg+('Inndata Bygg'!Z112*'ZERO-B Beregning'!D211/1000)*IF('ZERO-B Beregning'!F212=0,'ZERO-B Beregning'!D212,'ZERO-B Beregning'!F212))*_xlfn.XLOOKUP(51, År_etter_ferdigstillelse, f_tid_x_f_tek_d_0_01))</f>
        <v>0</v>
      </c>
      <c r="AD109" s="577">
        <f>IF(('Inndata Bygg'!G112+'Inndata Bygg'!O112+'Inndata Bygg'!S112) = 0, 0,1.833*('Inndata Bygg'!G112*('Inndata Bygg'!L112*0.5+'Inndata Bygg'!M112*0.8)+'Inndata Bygg'!O112*'Inndata Bygg'!Q112+'Inndata Bygg'!S112*'Inndata Bygg'!U112)*AG109*_xlfn.XLOOKUP(51, År_etter_ferdigstillelse,  f_tid_x_f_tek_d_0_01))</f>
        <v>0</v>
      </c>
      <c r="AE109" s="575" cm="1">
        <f t="array" ref="AE109">CalculateEmissionsReductionFromReuse('ZERO-B Beregning'!$D$17,'Inndata Bygg'!H112,'Inndata Bygg'!G112,'Inndata Bygg'!Z112,'Inndata Bygg'!X112,'Inndata Bygg'!Y112,F109,'Inndata Bygg'!B112)</f>
        <v>0</v>
      </c>
      <c r="AF109" s="333" cm="1">
        <f t="array" ref="AF109">CalculateEmissionReductionFromRecycling('ZERO-B Beregning'!$D$17,'Inndata Bygg'!H112,'Inndata Bygg'!G112,'Inndata Bygg'!AA112,'Inndata Bygg'!X112,'Inndata Bygg'!Y112,F109,'Inndata Bygg'!B112)</f>
        <v>0</v>
      </c>
      <c r="AG109" s="572">
        <f>IF(('Inndata Bygg'!G112+'Inndata Bygg'!O112+'Inndata Bygg'!S112) = 0, 0,'Inndata Bygg'!X112*Faktorer!$Z$58)</f>
        <v>0</v>
      </c>
      <c r="AH109" s="573">
        <f>IF(('Inndata Bygg'!G112+'Inndata Bygg'!O112+'Inndata Bygg'!S112) = 0, 0,'Inndata Bygg'!Z112+('Inndata Bygg'!X112+'Inndata Bygg'!Y112)*(1-Faktorer!$Z$58)*0.5)</f>
        <v>0</v>
      </c>
      <c r="AI109" s="574">
        <f>IF(('Inndata Bygg'!G112+'Inndata Bygg'!O112+'Inndata Bygg'!S112) = 0, 0,'Inndata Bygg'!AA112+('Inndata Bygg'!X112+'Inndata Bygg'!Y112)*(1-Faktorer!$Z$58)*0.5)</f>
        <v>0</v>
      </c>
      <c r="AJ109" s="634"/>
      <c r="AK109" s="90">
        <f t="shared" si="3"/>
        <v>0</v>
      </c>
      <c r="AL109" s="91">
        <f>'Resultater detaljert Bygg'!N109</f>
        <v>0</v>
      </c>
      <c r="AM109" s="91" t="str">
        <f>IF(F109=0,"",('Inndata Bygg'!E112+'Inndata Bygg'!F112)*ROUNDDOWN('Inndata Bygg'!I112,0)*(1+'Inndata Bygg'!K112))</f>
        <v/>
      </c>
    </row>
    <row r="110" spans="2:39">
      <c r="B110" s="339">
        <f>'Inndata Bygg'!B113</f>
        <v>0</v>
      </c>
      <c r="C110" s="340">
        <f>'Inndata Bygg'!C113</f>
        <v>0</v>
      </c>
      <c r="D110" s="341">
        <f>'Inndata Bygg'!D113</f>
        <v>0</v>
      </c>
      <c r="E110" s="421" cm="1">
        <f t="array" ref="E110">SUM(IFERROR(F110:AD110,0))</f>
        <v>0</v>
      </c>
      <c r="F110" s="330">
        <f>'Inndata Bygg'!E113</f>
        <v>0</v>
      </c>
      <c r="G110" s="330">
        <f>IF('Inndata Bygg'!AB113="Ja", -0.8*'Resultater detaljert Bygg'!F110, 0)</f>
        <v>0</v>
      </c>
      <c r="H110" s="330">
        <f>IF('Inndata Bygg'!AC113="Ja", -0.4*'Resultater detaljert Bygg'!$F110, 0)</f>
        <v>0</v>
      </c>
      <c r="I110" s="330">
        <f>IF('Inndata Bygg'!AD113="Ja", -1*'Resultater detaljert Bygg'!$F110, 0)</f>
        <v>0</v>
      </c>
      <c r="J110" s="330">
        <f>'Inndata Bygg'!O113*'Inndata Bygg'!P113</f>
        <v>0</v>
      </c>
      <c r="K110" s="330">
        <f>MAX(-0.75*(SUM('Resultater detaljert Bygg'!F110:J110)),-'Inndata Bygg'!O113*'Inndata Bygg'!Q113)</f>
        <v>0</v>
      </c>
      <c r="L110" s="330">
        <f>'Inndata Bygg'!S113*'Inndata Bygg'!T113</f>
        <v>0</v>
      </c>
      <c r="M110" s="330">
        <f>MAX(-0.75*(SUM('Resultater detaljert Bygg'!F110:I110,L110)),-'Inndata Bygg'!S113*'Inndata Bygg'!U113)</f>
        <v>0</v>
      </c>
      <c r="N110" s="331">
        <f>'Inndata Bygg'!F113</f>
        <v>0</v>
      </c>
      <c r="O110" s="330">
        <f>'Inndata Bygg'!O113*'Inndata Bygg'!R113</f>
        <v>0</v>
      </c>
      <c r="P110" s="332">
        <f>'Inndata Bygg'!S113*'Inndata Bygg'!V113</f>
        <v>0</v>
      </c>
      <c r="Q110" s="493">
        <f>SUM(F110:J110,L110)*'Inndata Bygg'!K113</f>
        <v>0</v>
      </c>
      <c r="R110" s="333">
        <f>(K110+M110)*'Inndata Bygg'!K113</f>
        <v>0</v>
      </c>
      <c r="S110" s="493">
        <f>N110*'Inndata Bygg'!K113</f>
        <v>0</v>
      </c>
      <c r="T110" s="494">
        <f>'Inndata Bygg'!G113*'Inndata Bygg'!K113*Transport_utslipp_til_avfallshånderting_per_kg</f>
        <v>0</v>
      </c>
      <c r="U110" s="330">
        <f>IF('Inndata Bygg'!E113 = 0, 0, 1.833*'Inndata Bygg'!X113*'Inndata Bygg'!K113*('Inndata Bygg'!G113*('Inndata Bygg'!L113*0.5+'Inndata Bygg'!M113*0.8) + (12/44)*('Inndata Bygg'!O113*'Inndata Bygg'!Q113+'Inndata Bygg'!S113*'Inndata Bygg'!U113)))</f>
        <v>0</v>
      </c>
      <c r="V110" s="335" cm="1">
        <f t="array" ref="V110">CalculateBiogenicCarbonUptake('ZERO-B Beregning'!$D$17,'Inndata Bygg'!H113,'Inndata Bygg'!G113,'Inndata Bygg'!L113,F110,AB110,AC110,AD110)</f>
        <v>0</v>
      </c>
      <c r="W110" s="576" cm="1">
        <f t="array" ref="W110">CalculateCementCarbonUptake('ZERO-B Beregning'!$D$17,'Inndata Bygg'!H113,'Inndata Bygg'!G113,'Inndata Bygg'!N113)</f>
        <v>0</v>
      </c>
      <c r="X110" s="331" cm="1">
        <f t="array" ref="X110">IF(SUM(F110:J110,L110)=0, 0, SUM(F110:J110,L110)*(1+'Inndata Bygg'!K113)*IF('Inndata Bygg'!H113&gt;50, 0, _xlfn.XLOOKUP('Inndata Bygg'!H113, År_etter_ferdigstillelse, IF(VALUE(LEFT('Inndata Bygg'!B113, 2))= 49, f_tid_x_f_tek_d_0_037_kumulativ, f_tid_x_f_tek_d_0_01_kumulativ))))</f>
        <v>0</v>
      </c>
      <c r="Y110" s="330">
        <f>IF(X110=0, 0, SUM(K110,M110)*(1+'Inndata Bygg'!K113)*IF('Inndata Bygg'!H113&gt;50, 0, _xlfn.XLOOKUP('Inndata Bygg'!H113, År_etter_ferdigstillelse, f_tid_x_f_tek_d_0_01_kumulativ)))</f>
        <v>0</v>
      </c>
      <c r="Z110" s="336">
        <f>IF(X110=0, 0, SUM(N110:P110)*(1+'Inndata Bygg'!K113)*IF('Inndata Bygg'!H113&gt;50, 0, _xlfn.XLOOKUP('Inndata Bygg'!H113, År_etter_ferdigstillelse, f_tid_x_f_tek_d_0_01_kumulativ)))</f>
        <v>0</v>
      </c>
      <c r="AA110" s="336">
        <f>IF(X110=0, 0, ('Inndata Bygg'!G113+'Inndata Bygg'!O113+'Inndata Bygg'!S113)*(1+'Inndata Bygg'!K113)*Transport_utslipp_til_avfallshånderting_per_kg*IF('Inndata Bygg'!H113&gt;50, 0, _xlfn.XLOOKUP('Inndata Bygg'!H113, År_etter_ferdigstillelse, f_tid_x_f_tek_d_0_01_kumulativ)))</f>
        <v>0</v>
      </c>
      <c r="AB110" s="580" cm="1">
        <f t="array" ref="AB110">CalculateEmissionsFromIncinerationOfWaste('ZERO-B Beregning'!$D$17,'Inndata Bygg'!H113,'Inndata Bygg'!G113,'Inndata Bygg'!X113,'Inndata Bygg'!L113,'Inndata Bygg'!M113,'Inndata Bygg'!B113)</f>
        <v>0</v>
      </c>
      <c r="AC110" s="335">
        <f>IF(('Inndata Bygg'!G113+'Inndata Bygg'!O113+'Inndata Bygg'!S113) = 0, 0,('Inndata Bygg'!G113+'Inndata Bygg'!O113+'Inndata Bygg'!S113)*(('Inndata Bygg'!X113+'Inndata Bygg'!Y113+'Inndata Bygg'!AA113)*Transport_utslipp_til_avfallshånderting_per_kg+('Inndata Bygg'!Z113*'ZERO-B Beregning'!D212/1000)*IF('ZERO-B Beregning'!F213=0,'ZERO-B Beregning'!D213,'ZERO-B Beregning'!F213))*_xlfn.XLOOKUP(51, År_etter_ferdigstillelse, f_tid_x_f_tek_d_0_01))</f>
        <v>0</v>
      </c>
      <c r="AD110" s="577">
        <f>IF(('Inndata Bygg'!G113+'Inndata Bygg'!O113+'Inndata Bygg'!S113) = 0, 0,1.833*('Inndata Bygg'!G113*('Inndata Bygg'!L113*0.5+'Inndata Bygg'!M113*0.8)+'Inndata Bygg'!O113*'Inndata Bygg'!Q113+'Inndata Bygg'!S113*'Inndata Bygg'!U113)*AG110*_xlfn.XLOOKUP(51, År_etter_ferdigstillelse,  f_tid_x_f_tek_d_0_01))</f>
        <v>0</v>
      </c>
      <c r="AE110" s="575" cm="1">
        <f t="array" ref="AE110">CalculateEmissionsReductionFromReuse('ZERO-B Beregning'!$D$17,'Inndata Bygg'!H113,'Inndata Bygg'!G113,'Inndata Bygg'!Z113,'Inndata Bygg'!X113,'Inndata Bygg'!Y113,F110,'Inndata Bygg'!B113)</f>
        <v>0</v>
      </c>
      <c r="AF110" s="333" cm="1">
        <f t="array" ref="AF110">CalculateEmissionReductionFromRecycling('ZERO-B Beregning'!$D$17,'Inndata Bygg'!H113,'Inndata Bygg'!G113,'Inndata Bygg'!AA113,'Inndata Bygg'!X113,'Inndata Bygg'!Y113,F110,'Inndata Bygg'!B113)</f>
        <v>0</v>
      </c>
      <c r="AG110" s="572">
        <f>IF(('Inndata Bygg'!G113+'Inndata Bygg'!O113+'Inndata Bygg'!S113) = 0, 0,'Inndata Bygg'!X113*Faktorer!$Z$58)</f>
        <v>0</v>
      </c>
      <c r="AH110" s="573">
        <f>IF(('Inndata Bygg'!G113+'Inndata Bygg'!O113+'Inndata Bygg'!S113) = 0, 0,'Inndata Bygg'!Z113+('Inndata Bygg'!X113+'Inndata Bygg'!Y113)*(1-Faktorer!$Z$58)*0.5)</f>
        <v>0</v>
      </c>
      <c r="AI110" s="574">
        <f>IF(('Inndata Bygg'!G113+'Inndata Bygg'!O113+'Inndata Bygg'!S113) = 0, 0,'Inndata Bygg'!AA113+('Inndata Bygg'!X113+'Inndata Bygg'!Y113)*(1-Faktorer!$Z$58)*0.5)</f>
        <v>0</v>
      </c>
      <c r="AJ110" s="634"/>
      <c r="AK110" s="90">
        <f t="shared" si="3"/>
        <v>0</v>
      </c>
      <c r="AL110" s="91">
        <f>'Resultater detaljert Bygg'!N110</f>
        <v>0</v>
      </c>
      <c r="AM110" s="91" t="str">
        <f>IF(F110=0,"",('Inndata Bygg'!E113+'Inndata Bygg'!F113)*ROUNDDOWN('Inndata Bygg'!I113,0)*(1+'Inndata Bygg'!K113))</f>
        <v/>
      </c>
    </row>
    <row r="111" spans="2:39">
      <c r="B111" s="339">
        <f>'Inndata Bygg'!B114</f>
        <v>0</v>
      </c>
      <c r="C111" s="340">
        <f>'Inndata Bygg'!C114</f>
        <v>0</v>
      </c>
      <c r="D111" s="341">
        <f>'Inndata Bygg'!D114</f>
        <v>0</v>
      </c>
      <c r="E111" s="421" cm="1">
        <f t="array" ref="E111">SUM(IFERROR(F111:AD111,0))</f>
        <v>0</v>
      </c>
      <c r="F111" s="330">
        <f>'Inndata Bygg'!E114</f>
        <v>0</v>
      </c>
      <c r="G111" s="330">
        <f>IF('Inndata Bygg'!AB114="Ja", -0.8*'Resultater detaljert Bygg'!F111, 0)</f>
        <v>0</v>
      </c>
      <c r="H111" s="330">
        <f>IF('Inndata Bygg'!AC114="Ja", -0.4*'Resultater detaljert Bygg'!$F111, 0)</f>
        <v>0</v>
      </c>
      <c r="I111" s="330">
        <f>IF('Inndata Bygg'!AD114="Ja", -1*'Resultater detaljert Bygg'!$F111, 0)</f>
        <v>0</v>
      </c>
      <c r="J111" s="330">
        <f>'Inndata Bygg'!O114*'Inndata Bygg'!P114</f>
        <v>0</v>
      </c>
      <c r="K111" s="330">
        <f>MAX(-0.75*(SUM('Resultater detaljert Bygg'!F111:J111)),-'Inndata Bygg'!O114*'Inndata Bygg'!Q114)</f>
        <v>0</v>
      </c>
      <c r="L111" s="330">
        <f>'Inndata Bygg'!S114*'Inndata Bygg'!T114</f>
        <v>0</v>
      </c>
      <c r="M111" s="330">
        <f>MAX(-0.75*(SUM('Resultater detaljert Bygg'!F111:I111,L111)),-'Inndata Bygg'!S114*'Inndata Bygg'!U114)</f>
        <v>0</v>
      </c>
      <c r="N111" s="331">
        <f>'Inndata Bygg'!F114</f>
        <v>0</v>
      </c>
      <c r="O111" s="330">
        <f>'Inndata Bygg'!O114*'Inndata Bygg'!R114</f>
        <v>0</v>
      </c>
      <c r="P111" s="332">
        <f>'Inndata Bygg'!S114*'Inndata Bygg'!V114</f>
        <v>0</v>
      </c>
      <c r="Q111" s="493">
        <f>SUM(F111:J111,L111)*'Inndata Bygg'!K114</f>
        <v>0</v>
      </c>
      <c r="R111" s="333">
        <f>(K111+M111)*'Inndata Bygg'!K114</f>
        <v>0</v>
      </c>
      <c r="S111" s="493">
        <f>N111*'Inndata Bygg'!K114</f>
        <v>0</v>
      </c>
      <c r="T111" s="494">
        <f>'Inndata Bygg'!G114*'Inndata Bygg'!K114*Transport_utslipp_til_avfallshånderting_per_kg</f>
        <v>0</v>
      </c>
      <c r="U111" s="330">
        <f>IF('Inndata Bygg'!E114 = 0, 0, 1.833*'Inndata Bygg'!X114*'Inndata Bygg'!K114*('Inndata Bygg'!G114*('Inndata Bygg'!L114*0.5+'Inndata Bygg'!M114*0.8) + (12/44)*('Inndata Bygg'!O114*'Inndata Bygg'!Q114+'Inndata Bygg'!S114*'Inndata Bygg'!U114)))</f>
        <v>0</v>
      </c>
      <c r="V111" s="335" cm="1">
        <f t="array" ref="V111">CalculateBiogenicCarbonUptake('ZERO-B Beregning'!$D$17,'Inndata Bygg'!H114,'Inndata Bygg'!G114,'Inndata Bygg'!L114,F111,AB111,AC111,AD111)</f>
        <v>0</v>
      </c>
      <c r="W111" s="576" cm="1">
        <f t="array" ref="W111">CalculateCementCarbonUptake('ZERO-B Beregning'!$D$17,'Inndata Bygg'!H114,'Inndata Bygg'!G114,'Inndata Bygg'!N114)</f>
        <v>0</v>
      </c>
      <c r="X111" s="331" cm="1">
        <f t="array" ref="X111">IF(SUM(F111:J111,L111)=0, 0, SUM(F111:J111,L111)*(1+'Inndata Bygg'!K114)*IF('Inndata Bygg'!H114&gt;50, 0, _xlfn.XLOOKUP('Inndata Bygg'!H114, År_etter_ferdigstillelse, IF(VALUE(LEFT('Inndata Bygg'!B114, 2))= 49, f_tid_x_f_tek_d_0_037_kumulativ, f_tid_x_f_tek_d_0_01_kumulativ))))</f>
        <v>0</v>
      </c>
      <c r="Y111" s="330">
        <f>IF(X111=0, 0, SUM(K111,M111)*(1+'Inndata Bygg'!K114)*IF('Inndata Bygg'!H114&gt;50, 0, _xlfn.XLOOKUP('Inndata Bygg'!H114, År_etter_ferdigstillelse, f_tid_x_f_tek_d_0_01_kumulativ)))</f>
        <v>0</v>
      </c>
      <c r="Z111" s="336">
        <f>IF(X111=0, 0, SUM(N111:P111)*(1+'Inndata Bygg'!K114)*IF('Inndata Bygg'!H114&gt;50, 0, _xlfn.XLOOKUP('Inndata Bygg'!H114, År_etter_ferdigstillelse, f_tid_x_f_tek_d_0_01_kumulativ)))</f>
        <v>0</v>
      </c>
      <c r="AA111" s="336">
        <f>IF(X111=0, 0, ('Inndata Bygg'!G114+'Inndata Bygg'!O114+'Inndata Bygg'!S114)*(1+'Inndata Bygg'!K114)*Transport_utslipp_til_avfallshånderting_per_kg*IF('Inndata Bygg'!H114&gt;50, 0, _xlfn.XLOOKUP('Inndata Bygg'!H114, År_etter_ferdigstillelse, f_tid_x_f_tek_d_0_01_kumulativ)))</f>
        <v>0</v>
      </c>
      <c r="AB111" s="580" cm="1">
        <f t="array" ref="AB111">CalculateEmissionsFromIncinerationOfWaste('ZERO-B Beregning'!$D$17,'Inndata Bygg'!H114,'Inndata Bygg'!G114,'Inndata Bygg'!X114,'Inndata Bygg'!L114,'Inndata Bygg'!M114,'Inndata Bygg'!B114)</f>
        <v>0</v>
      </c>
      <c r="AC111" s="335">
        <f>IF(('Inndata Bygg'!G114+'Inndata Bygg'!O114+'Inndata Bygg'!S114) = 0, 0,('Inndata Bygg'!G114+'Inndata Bygg'!O114+'Inndata Bygg'!S114)*(('Inndata Bygg'!X114+'Inndata Bygg'!Y114+'Inndata Bygg'!AA114)*Transport_utslipp_til_avfallshånderting_per_kg+('Inndata Bygg'!Z114*'ZERO-B Beregning'!D213/1000)*IF('ZERO-B Beregning'!F214=0,'ZERO-B Beregning'!D214,'ZERO-B Beregning'!F214))*_xlfn.XLOOKUP(51, År_etter_ferdigstillelse, f_tid_x_f_tek_d_0_01))</f>
        <v>0</v>
      </c>
      <c r="AD111" s="577">
        <f>IF(('Inndata Bygg'!G114+'Inndata Bygg'!O114+'Inndata Bygg'!S114) = 0, 0,1.833*('Inndata Bygg'!G114*('Inndata Bygg'!L114*0.5+'Inndata Bygg'!M114*0.8)+'Inndata Bygg'!O114*'Inndata Bygg'!Q114+'Inndata Bygg'!S114*'Inndata Bygg'!U114)*AG111*_xlfn.XLOOKUP(51, År_etter_ferdigstillelse,  f_tid_x_f_tek_d_0_01))</f>
        <v>0</v>
      </c>
      <c r="AE111" s="575" cm="1">
        <f t="array" ref="AE111">CalculateEmissionsReductionFromReuse('ZERO-B Beregning'!$D$17,'Inndata Bygg'!H114,'Inndata Bygg'!G114,'Inndata Bygg'!Z114,'Inndata Bygg'!X114,'Inndata Bygg'!Y114,F111,'Inndata Bygg'!B114)</f>
        <v>0</v>
      </c>
      <c r="AF111" s="333" cm="1">
        <f t="array" ref="AF111">CalculateEmissionReductionFromRecycling('ZERO-B Beregning'!$D$17,'Inndata Bygg'!H114,'Inndata Bygg'!G114,'Inndata Bygg'!AA114,'Inndata Bygg'!X114,'Inndata Bygg'!Y114,F111,'Inndata Bygg'!B114)</f>
        <v>0</v>
      </c>
      <c r="AG111" s="572">
        <f>IF(('Inndata Bygg'!G114+'Inndata Bygg'!O114+'Inndata Bygg'!S114) = 0, 0,'Inndata Bygg'!X114*Faktorer!$Z$58)</f>
        <v>0</v>
      </c>
      <c r="AH111" s="573">
        <f>IF(('Inndata Bygg'!G114+'Inndata Bygg'!O114+'Inndata Bygg'!S114) = 0, 0,'Inndata Bygg'!Z114+('Inndata Bygg'!X114+'Inndata Bygg'!Y114)*(1-Faktorer!$Z$58)*0.5)</f>
        <v>0</v>
      </c>
      <c r="AI111" s="574">
        <f>IF(('Inndata Bygg'!G114+'Inndata Bygg'!O114+'Inndata Bygg'!S114) = 0, 0,'Inndata Bygg'!AA114+('Inndata Bygg'!X114+'Inndata Bygg'!Y114)*(1-Faktorer!$Z$58)*0.5)</f>
        <v>0</v>
      </c>
      <c r="AJ111" s="634"/>
      <c r="AK111" s="90">
        <f t="shared" si="3"/>
        <v>0</v>
      </c>
      <c r="AL111" s="91">
        <f>'Resultater detaljert Bygg'!N111</f>
        <v>0</v>
      </c>
      <c r="AM111" s="91" t="str">
        <f>IF(F111=0,"",('Inndata Bygg'!E114+'Inndata Bygg'!F114)*ROUNDDOWN('Inndata Bygg'!I114,0)*(1+'Inndata Bygg'!K114))</f>
        <v/>
      </c>
    </row>
    <row r="112" spans="2:39">
      <c r="B112" s="339">
        <f>'Inndata Bygg'!B115</f>
        <v>0</v>
      </c>
      <c r="C112" s="340">
        <f>'Inndata Bygg'!C115</f>
        <v>0</v>
      </c>
      <c r="D112" s="341">
        <f>'Inndata Bygg'!D115</f>
        <v>0</v>
      </c>
      <c r="E112" s="421" cm="1">
        <f t="array" ref="E112">SUM(IFERROR(F112:AD112,0))</f>
        <v>0</v>
      </c>
      <c r="F112" s="330">
        <f>'Inndata Bygg'!E115</f>
        <v>0</v>
      </c>
      <c r="G112" s="330">
        <f>IF('Inndata Bygg'!AB115="Ja", -0.8*'Resultater detaljert Bygg'!F112, 0)</f>
        <v>0</v>
      </c>
      <c r="H112" s="330">
        <f>IF('Inndata Bygg'!AC115="Ja", -0.4*'Resultater detaljert Bygg'!$F112, 0)</f>
        <v>0</v>
      </c>
      <c r="I112" s="330">
        <f>IF('Inndata Bygg'!AD115="Ja", -1*'Resultater detaljert Bygg'!$F112, 0)</f>
        <v>0</v>
      </c>
      <c r="J112" s="330">
        <f>'Inndata Bygg'!O115*'Inndata Bygg'!P115</f>
        <v>0</v>
      </c>
      <c r="K112" s="330">
        <f>MAX(-0.75*(SUM('Resultater detaljert Bygg'!F112:J112)),-'Inndata Bygg'!O115*'Inndata Bygg'!Q115)</f>
        <v>0</v>
      </c>
      <c r="L112" s="330">
        <f>'Inndata Bygg'!S115*'Inndata Bygg'!T115</f>
        <v>0</v>
      </c>
      <c r="M112" s="330">
        <f>MAX(-0.75*(SUM('Resultater detaljert Bygg'!F112:I112,L112)),-'Inndata Bygg'!S115*'Inndata Bygg'!U115)</f>
        <v>0</v>
      </c>
      <c r="N112" s="331">
        <f>'Inndata Bygg'!F115</f>
        <v>0</v>
      </c>
      <c r="O112" s="330">
        <f>'Inndata Bygg'!O115*'Inndata Bygg'!R115</f>
        <v>0</v>
      </c>
      <c r="P112" s="332">
        <f>'Inndata Bygg'!S115*'Inndata Bygg'!V115</f>
        <v>0</v>
      </c>
      <c r="Q112" s="493">
        <f>SUM(F112:J112,L112)*'Inndata Bygg'!K115</f>
        <v>0</v>
      </c>
      <c r="R112" s="333">
        <f>(K112+M112)*'Inndata Bygg'!K115</f>
        <v>0</v>
      </c>
      <c r="S112" s="493">
        <f>N112*'Inndata Bygg'!K115</f>
        <v>0</v>
      </c>
      <c r="T112" s="494">
        <f>'Inndata Bygg'!G115*'Inndata Bygg'!K115*Transport_utslipp_til_avfallshånderting_per_kg</f>
        <v>0</v>
      </c>
      <c r="U112" s="330">
        <f>IF('Inndata Bygg'!E115 = 0, 0, 1.833*'Inndata Bygg'!X115*'Inndata Bygg'!K115*('Inndata Bygg'!G115*('Inndata Bygg'!L115*0.5+'Inndata Bygg'!M115*0.8) + (12/44)*('Inndata Bygg'!O115*'Inndata Bygg'!Q115+'Inndata Bygg'!S115*'Inndata Bygg'!U115)))</f>
        <v>0</v>
      </c>
      <c r="V112" s="335" cm="1">
        <f t="array" ref="V112">CalculateBiogenicCarbonUptake('ZERO-B Beregning'!$D$17,'Inndata Bygg'!H115,'Inndata Bygg'!G115,'Inndata Bygg'!L115,F112,AB112,AC112,AD112)</f>
        <v>0</v>
      </c>
      <c r="W112" s="576" cm="1">
        <f t="array" ref="W112">CalculateCementCarbonUptake('ZERO-B Beregning'!$D$17,'Inndata Bygg'!H115,'Inndata Bygg'!G115,'Inndata Bygg'!N115)</f>
        <v>0</v>
      </c>
      <c r="X112" s="331" cm="1">
        <f t="array" ref="X112">IF(SUM(F112:J112,L112)=0, 0, SUM(F112:J112,L112)*(1+'Inndata Bygg'!K115)*IF('Inndata Bygg'!H115&gt;50, 0, _xlfn.XLOOKUP('Inndata Bygg'!H115, År_etter_ferdigstillelse, IF(VALUE(LEFT('Inndata Bygg'!B115, 2))= 49, f_tid_x_f_tek_d_0_037_kumulativ, f_tid_x_f_tek_d_0_01_kumulativ))))</f>
        <v>0</v>
      </c>
      <c r="Y112" s="330">
        <f>IF(X112=0, 0, SUM(K112,M112)*(1+'Inndata Bygg'!K115)*IF('Inndata Bygg'!H115&gt;50, 0, _xlfn.XLOOKUP('Inndata Bygg'!H115, År_etter_ferdigstillelse, f_tid_x_f_tek_d_0_01_kumulativ)))</f>
        <v>0</v>
      </c>
      <c r="Z112" s="336">
        <f>IF(X112=0, 0, SUM(N112:P112)*(1+'Inndata Bygg'!K115)*IF('Inndata Bygg'!H115&gt;50, 0, _xlfn.XLOOKUP('Inndata Bygg'!H115, År_etter_ferdigstillelse, f_tid_x_f_tek_d_0_01_kumulativ)))</f>
        <v>0</v>
      </c>
      <c r="AA112" s="336">
        <f>IF(X112=0, 0, ('Inndata Bygg'!G115+'Inndata Bygg'!O115+'Inndata Bygg'!S115)*(1+'Inndata Bygg'!K115)*Transport_utslipp_til_avfallshånderting_per_kg*IF('Inndata Bygg'!H115&gt;50, 0, _xlfn.XLOOKUP('Inndata Bygg'!H115, År_etter_ferdigstillelse, f_tid_x_f_tek_d_0_01_kumulativ)))</f>
        <v>0</v>
      </c>
      <c r="AB112" s="580" cm="1">
        <f t="array" ref="AB112">CalculateEmissionsFromIncinerationOfWaste('ZERO-B Beregning'!$D$17,'Inndata Bygg'!H115,'Inndata Bygg'!G115,'Inndata Bygg'!X115,'Inndata Bygg'!L115,'Inndata Bygg'!M115,'Inndata Bygg'!B115)</f>
        <v>0</v>
      </c>
      <c r="AC112" s="335">
        <f>IF(('Inndata Bygg'!G115+'Inndata Bygg'!O115+'Inndata Bygg'!S115) = 0, 0,('Inndata Bygg'!G115+'Inndata Bygg'!O115+'Inndata Bygg'!S115)*(('Inndata Bygg'!X115+'Inndata Bygg'!Y115+'Inndata Bygg'!AA115)*Transport_utslipp_til_avfallshånderting_per_kg+('Inndata Bygg'!Z115*'ZERO-B Beregning'!D214/1000)*IF('ZERO-B Beregning'!F215=0,'ZERO-B Beregning'!D215,'ZERO-B Beregning'!F215))*_xlfn.XLOOKUP(51, År_etter_ferdigstillelse, f_tid_x_f_tek_d_0_01))</f>
        <v>0</v>
      </c>
      <c r="AD112" s="577">
        <f>IF(('Inndata Bygg'!G115+'Inndata Bygg'!O115+'Inndata Bygg'!S115) = 0, 0,1.833*('Inndata Bygg'!G115*('Inndata Bygg'!L115*0.5+'Inndata Bygg'!M115*0.8)+'Inndata Bygg'!O115*'Inndata Bygg'!Q115+'Inndata Bygg'!S115*'Inndata Bygg'!U115)*AG112*_xlfn.XLOOKUP(51, År_etter_ferdigstillelse,  f_tid_x_f_tek_d_0_01))</f>
        <v>0</v>
      </c>
      <c r="AE112" s="575" cm="1">
        <f t="array" ref="AE112">CalculateEmissionsReductionFromReuse('ZERO-B Beregning'!$D$17,'Inndata Bygg'!H115,'Inndata Bygg'!G115,'Inndata Bygg'!Z115,'Inndata Bygg'!X115,'Inndata Bygg'!Y115,F112,'Inndata Bygg'!B115)</f>
        <v>0</v>
      </c>
      <c r="AF112" s="333" cm="1">
        <f t="array" ref="AF112">CalculateEmissionReductionFromRecycling('ZERO-B Beregning'!$D$17,'Inndata Bygg'!H115,'Inndata Bygg'!G115,'Inndata Bygg'!AA115,'Inndata Bygg'!X115,'Inndata Bygg'!Y115,F112,'Inndata Bygg'!B115)</f>
        <v>0</v>
      </c>
      <c r="AG112" s="572">
        <f>IF(('Inndata Bygg'!G115+'Inndata Bygg'!O115+'Inndata Bygg'!S115) = 0, 0,'Inndata Bygg'!X115*Faktorer!$Z$58)</f>
        <v>0</v>
      </c>
      <c r="AH112" s="573">
        <f>IF(('Inndata Bygg'!G115+'Inndata Bygg'!O115+'Inndata Bygg'!S115) = 0, 0,'Inndata Bygg'!Z115+('Inndata Bygg'!X115+'Inndata Bygg'!Y115)*(1-Faktorer!$Z$58)*0.5)</f>
        <v>0</v>
      </c>
      <c r="AI112" s="574">
        <f>IF(('Inndata Bygg'!G115+'Inndata Bygg'!O115+'Inndata Bygg'!S115) = 0, 0,'Inndata Bygg'!AA115+('Inndata Bygg'!X115+'Inndata Bygg'!Y115)*(1-Faktorer!$Z$58)*0.5)</f>
        <v>0</v>
      </c>
      <c r="AJ112" s="634"/>
      <c r="AK112" s="90">
        <f t="shared" si="3"/>
        <v>0</v>
      </c>
      <c r="AL112" s="91">
        <f>'Resultater detaljert Bygg'!N112</f>
        <v>0</v>
      </c>
      <c r="AM112" s="91" t="str">
        <f>IF(F112=0,"",('Inndata Bygg'!E115+'Inndata Bygg'!F115)*ROUNDDOWN('Inndata Bygg'!I115,0)*(1+'Inndata Bygg'!K115))</f>
        <v/>
      </c>
    </row>
    <row r="113" spans="2:39">
      <c r="B113" s="339">
        <f>'Inndata Bygg'!B116</f>
        <v>0</v>
      </c>
      <c r="C113" s="340">
        <f>'Inndata Bygg'!C116</f>
        <v>0</v>
      </c>
      <c r="D113" s="341">
        <f>'Inndata Bygg'!D116</f>
        <v>0</v>
      </c>
      <c r="E113" s="421" cm="1">
        <f t="array" ref="E113">SUM(IFERROR(F113:AD113,0))</f>
        <v>0</v>
      </c>
      <c r="F113" s="330">
        <f>'Inndata Bygg'!E116</f>
        <v>0</v>
      </c>
      <c r="G113" s="330">
        <f>IF('Inndata Bygg'!AB116="Ja", -0.8*'Resultater detaljert Bygg'!F113, 0)</f>
        <v>0</v>
      </c>
      <c r="H113" s="330">
        <f>IF('Inndata Bygg'!AC116="Ja", -0.4*'Resultater detaljert Bygg'!$F113, 0)</f>
        <v>0</v>
      </c>
      <c r="I113" s="330">
        <f>IF('Inndata Bygg'!AD116="Ja", -1*'Resultater detaljert Bygg'!$F113, 0)</f>
        <v>0</v>
      </c>
      <c r="J113" s="330">
        <f>'Inndata Bygg'!O116*'Inndata Bygg'!P116</f>
        <v>0</v>
      </c>
      <c r="K113" s="330">
        <f>MAX(-0.75*(SUM('Resultater detaljert Bygg'!F113:J113)),-'Inndata Bygg'!O116*'Inndata Bygg'!Q116)</f>
        <v>0</v>
      </c>
      <c r="L113" s="330">
        <f>'Inndata Bygg'!S116*'Inndata Bygg'!T116</f>
        <v>0</v>
      </c>
      <c r="M113" s="330">
        <f>MAX(-0.75*(SUM('Resultater detaljert Bygg'!F113:I113,L113)),-'Inndata Bygg'!S116*'Inndata Bygg'!U116)</f>
        <v>0</v>
      </c>
      <c r="N113" s="331">
        <f>'Inndata Bygg'!F116</f>
        <v>0</v>
      </c>
      <c r="O113" s="330">
        <f>'Inndata Bygg'!O116*'Inndata Bygg'!R116</f>
        <v>0</v>
      </c>
      <c r="P113" s="332">
        <f>'Inndata Bygg'!S116*'Inndata Bygg'!V116</f>
        <v>0</v>
      </c>
      <c r="Q113" s="493">
        <f>SUM(F113:J113,L113)*'Inndata Bygg'!K116</f>
        <v>0</v>
      </c>
      <c r="R113" s="333">
        <f>(K113+M113)*'Inndata Bygg'!K116</f>
        <v>0</v>
      </c>
      <c r="S113" s="493">
        <f>N113*'Inndata Bygg'!K116</f>
        <v>0</v>
      </c>
      <c r="T113" s="494">
        <f>'Inndata Bygg'!G116*'Inndata Bygg'!K116*Transport_utslipp_til_avfallshånderting_per_kg</f>
        <v>0</v>
      </c>
      <c r="U113" s="330">
        <f>IF('Inndata Bygg'!E116 = 0, 0, 1.833*'Inndata Bygg'!X116*'Inndata Bygg'!K116*('Inndata Bygg'!G116*('Inndata Bygg'!L116*0.5+'Inndata Bygg'!M116*0.8) + (12/44)*('Inndata Bygg'!O116*'Inndata Bygg'!Q116+'Inndata Bygg'!S116*'Inndata Bygg'!U116)))</f>
        <v>0</v>
      </c>
      <c r="V113" s="335" cm="1">
        <f t="array" ref="V113">CalculateBiogenicCarbonUptake('ZERO-B Beregning'!$D$17,'Inndata Bygg'!H116,'Inndata Bygg'!G116,'Inndata Bygg'!L116,F113,AB113,AC113,AD113)</f>
        <v>0</v>
      </c>
      <c r="W113" s="576" cm="1">
        <f t="array" ref="W113">CalculateCementCarbonUptake('ZERO-B Beregning'!$D$17,'Inndata Bygg'!H116,'Inndata Bygg'!G116,'Inndata Bygg'!N116)</f>
        <v>0</v>
      </c>
      <c r="X113" s="331" cm="1">
        <f t="array" ref="X113">IF(SUM(F113:J113,L113)=0, 0, SUM(F113:J113,L113)*(1+'Inndata Bygg'!K116)*IF('Inndata Bygg'!H116&gt;50, 0, _xlfn.XLOOKUP('Inndata Bygg'!H116, År_etter_ferdigstillelse, IF(VALUE(LEFT('Inndata Bygg'!B116, 2))= 49, f_tid_x_f_tek_d_0_037_kumulativ, f_tid_x_f_tek_d_0_01_kumulativ))))</f>
        <v>0</v>
      </c>
      <c r="Y113" s="330">
        <f>IF(X113=0, 0, SUM(K113,M113)*(1+'Inndata Bygg'!K116)*IF('Inndata Bygg'!H116&gt;50, 0, _xlfn.XLOOKUP('Inndata Bygg'!H116, År_etter_ferdigstillelse, f_tid_x_f_tek_d_0_01_kumulativ)))</f>
        <v>0</v>
      </c>
      <c r="Z113" s="336">
        <f>IF(X113=0, 0, SUM(N113:P113)*(1+'Inndata Bygg'!K116)*IF('Inndata Bygg'!H116&gt;50, 0, _xlfn.XLOOKUP('Inndata Bygg'!H116, År_etter_ferdigstillelse, f_tid_x_f_tek_d_0_01_kumulativ)))</f>
        <v>0</v>
      </c>
      <c r="AA113" s="336">
        <f>IF(X113=0, 0, ('Inndata Bygg'!G116+'Inndata Bygg'!O116+'Inndata Bygg'!S116)*(1+'Inndata Bygg'!K116)*Transport_utslipp_til_avfallshånderting_per_kg*IF('Inndata Bygg'!H116&gt;50, 0, _xlfn.XLOOKUP('Inndata Bygg'!H116, År_etter_ferdigstillelse, f_tid_x_f_tek_d_0_01_kumulativ)))</f>
        <v>0</v>
      </c>
      <c r="AB113" s="580" cm="1">
        <f t="array" ref="AB113">CalculateEmissionsFromIncinerationOfWaste('ZERO-B Beregning'!$D$17,'Inndata Bygg'!H116,'Inndata Bygg'!G116,'Inndata Bygg'!X116,'Inndata Bygg'!L116,'Inndata Bygg'!M116,'Inndata Bygg'!B116)</f>
        <v>0</v>
      </c>
      <c r="AC113" s="335">
        <f>IF(('Inndata Bygg'!G116+'Inndata Bygg'!O116+'Inndata Bygg'!S116) = 0, 0,('Inndata Bygg'!G116+'Inndata Bygg'!O116+'Inndata Bygg'!S116)*(('Inndata Bygg'!X116+'Inndata Bygg'!Y116+'Inndata Bygg'!AA116)*Transport_utslipp_til_avfallshånderting_per_kg+('Inndata Bygg'!Z116*'ZERO-B Beregning'!D215/1000)*IF('ZERO-B Beregning'!F216=0,'ZERO-B Beregning'!D216,'ZERO-B Beregning'!F216))*_xlfn.XLOOKUP(51, År_etter_ferdigstillelse, f_tid_x_f_tek_d_0_01))</f>
        <v>0</v>
      </c>
      <c r="AD113" s="577">
        <f>IF(('Inndata Bygg'!G116+'Inndata Bygg'!O116+'Inndata Bygg'!S116) = 0, 0,1.833*('Inndata Bygg'!G116*('Inndata Bygg'!L116*0.5+'Inndata Bygg'!M116*0.8)+'Inndata Bygg'!O116*'Inndata Bygg'!Q116+'Inndata Bygg'!S116*'Inndata Bygg'!U116)*AG113*_xlfn.XLOOKUP(51, År_etter_ferdigstillelse,  f_tid_x_f_tek_d_0_01))</f>
        <v>0</v>
      </c>
      <c r="AE113" s="575" cm="1">
        <f t="array" ref="AE113">CalculateEmissionsReductionFromReuse('ZERO-B Beregning'!$D$17,'Inndata Bygg'!H116,'Inndata Bygg'!G116,'Inndata Bygg'!Z116,'Inndata Bygg'!X116,'Inndata Bygg'!Y116,F113,'Inndata Bygg'!B116)</f>
        <v>0</v>
      </c>
      <c r="AF113" s="333" cm="1">
        <f t="array" ref="AF113">CalculateEmissionReductionFromRecycling('ZERO-B Beregning'!$D$17,'Inndata Bygg'!H116,'Inndata Bygg'!G116,'Inndata Bygg'!AA116,'Inndata Bygg'!X116,'Inndata Bygg'!Y116,F113,'Inndata Bygg'!B116)</f>
        <v>0</v>
      </c>
      <c r="AG113" s="572">
        <f>IF(('Inndata Bygg'!G116+'Inndata Bygg'!O116+'Inndata Bygg'!S116) = 0, 0,'Inndata Bygg'!X116*Faktorer!$Z$58)</f>
        <v>0</v>
      </c>
      <c r="AH113" s="573">
        <f>IF(('Inndata Bygg'!G116+'Inndata Bygg'!O116+'Inndata Bygg'!S116) = 0, 0,'Inndata Bygg'!Z116+('Inndata Bygg'!X116+'Inndata Bygg'!Y116)*(1-Faktorer!$Z$58)*0.5)</f>
        <v>0</v>
      </c>
      <c r="AI113" s="574">
        <f>IF(('Inndata Bygg'!G116+'Inndata Bygg'!O116+'Inndata Bygg'!S116) = 0, 0,'Inndata Bygg'!AA116+('Inndata Bygg'!X116+'Inndata Bygg'!Y116)*(1-Faktorer!$Z$58)*0.5)</f>
        <v>0</v>
      </c>
      <c r="AJ113" s="634"/>
      <c r="AK113" s="90">
        <f t="shared" si="3"/>
        <v>0</v>
      </c>
      <c r="AL113" s="91">
        <f>'Resultater detaljert Bygg'!N113</f>
        <v>0</v>
      </c>
      <c r="AM113" s="91" t="str">
        <f>IF(F113=0,"",('Inndata Bygg'!E116+'Inndata Bygg'!F116)*ROUNDDOWN('Inndata Bygg'!I116,0)*(1+'Inndata Bygg'!K116))</f>
        <v/>
      </c>
    </row>
    <row r="114" spans="2:39">
      <c r="B114" s="339">
        <f>'Inndata Bygg'!B117</f>
        <v>0</v>
      </c>
      <c r="C114" s="340">
        <f>'Inndata Bygg'!C117</f>
        <v>0</v>
      </c>
      <c r="D114" s="341">
        <f>'Inndata Bygg'!D117</f>
        <v>0</v>
      </c>
      <c r="E114" s="421" cm="1">
        <f t="array" ref="E114">SUM(IFERROR(F114:AD114,0))</f>
        <v>0</v>
      </c>
      <c r="F114" s="330">
        <f>'Inndata Bygg'!E117</f>
        <v>0</v>
      </c>
      <c r="G114" s="330">
        <f>IF('Inndata Bygg'!AB117="Ja", -0.8*'Resultater detaljert Bygg'!F114, 0)</f>
        <v>0</v>
      </c>
      <c r="H114" s="330">
        <f>IF('Inndata Bygg'!AC117="Ja", -0.4*'Resultater detaljert Bygg'!$F114, 0)</f>
        <v>0</v>
      </c>
      <c r="I114" s="330">
        <f>IF('Inndata Bygg'!AD117="Ja", -1*'Resultater detaljert Bygg'!$F114, 0)</f>
        <v>0</v>
      </c>
      <c r="J114" s="330">
        <f>'Inndata Bygg'!O117*'Inndata Bygg'!P117</f>
        <v>0</v>
      </c>
      <c r="K114" s="330">
        <f>MAX(-0.75*(SUM('Resultater detaljert Bygg'!F114:J114)),-'Inndata Bygg'!O117*'Inndata Bygg'!Q117)</f>
        <v>0</v>
      </c>
      <c r="L114" s="330">
        <f>'Inndata Bygg'!S117*'Inndata Bygg'!T117</f>
        <v>0</v>
      </c>
      <c r="M114" s="330">
        <f>MAX(-0.75*(SUM('Resultater detaljert Bygg'!F114:I114,L114)),-'Inndata Bygg'!S117*'Inndata Bygg'!U117)</f>
        <v>0</v>
      </c>
      <c r="N114" s="331">
        <f>'Inndata Bygg'!F117</f>
        <v>0</v>
      </c>
      <c r="O114" s="330">
        <f>'Inndata Bygg'!O117*'Inndata Bygg'!R117</f>
        <v>0</v>
      </c>
      <c r="P114" s="332">
        <f>'Inndata Bygg'!S117*'Inndata Bygg'!V117</f>
        <v>0</v>
      </c>
      <c r="Q114" s="493">
        <f>SUM(F114:J114,L114)*'Inndata Bygg'!K117</f>
        <v>0</v>
      </c>
      <c r="R114" s="333">
        <f>(K114+M114)*'Inndata Bygg'!K117</f>
        <v>0</v>
      </c>
      <c r="S114" s="493">
        <f>N114*'Inndata Bygg'!K117</f>
        <v>0</v>
      </c>
      <c r="T114" s="494">
        <f>'Inndata Bygg'!G117*'Inndata Bygg'!K117*Transport_utslipp_til_avfallshånderting_per_kg</f>
        <v>0</v>
      </c>
      <c r="U114" s="330">
        <f>IF('Inndata Bygg'!E117 = 0, 0, 1.833*'Inndata Bygg'!X117*'Inndata Bygg'!K117*('Inndata Bygg'!G117*('Inndata Bygg'!L117*0.5+'Inndata Bygg'!M117*0.8) + (12/44)*('Inndata Bygg'!O117*'Inndata Bygg'!Q117+'Inndata Bygg'!S117*'Inndata Bygg'!U117)))</f>
        <v>0</v>
      </c>
      <c r="V114" s="335" cm="1">
        <f t="array" ref="V114">CalculateBiogenicCarbonUptake('ZERO-B Beregning'!$D$17,'Inndata Bygg'!H117,'Inndata Bygg'!G117,'Inndata Bygg'!L117,F114,AB114,AC114,AD114)</f>
        <v>0</v>
      </c>
      <c r="W114" s="576" cm="1">
        <f t="array" ref="W114">CalculateCementCarbonUptake('ZERO-B Beregning'!$D$17,'Inndata Bygg'!H117,'Inndata Bygg'!G117,'Inndata Bygg'!N117)</f>
        <v>0</v>
      </c>
      <c r="X114" s="331" cm="1">
        <f t="array" ref="X114">IF(SUM(F114:J114,L114)=0, 0, SUM(F114:J114,L114)*(1+'Inndata Bygg'!K117)*IF('Inndata Bygg'!H117&gt;50, 0, _xlfn.XLOOKUP('Inndata Bygg'!H117, År_etter_ferdigstillelse, IF(VALUE(LEFT('Inndata Bygg'!B117, 2))= 49, f_tid_x_f_tek_d_0_037_kumulativ, f_tid_x_f_tek_d_0_01_kumulativ))))</f>
        <v>0</v>
      </c>
      <c r="Y114" s="330">
        <f>IF(X114=0, 0, SUM(K114,M114)*(1+'Inndata Bygg'!K117)*IF('Inndata Bygg'!H117&gt;50, 0, _xlfn.XLOOKUP('Inndata Bygg'!H117, År_etter_ferdigstillelse, f_tid_x_f_tek_d_0_01_kumulativ)))</f>
        <v>0</v>
      </c>
      <c r="Z114" s="336">
        <f>IF(X114=0, 0, SUM(N114:P114)*(1+'Inndata Bygg'!K117)*IF('Inndata Bygg'!H117&gt;50, 0, _xlfn.XLOOKUP('Inndata Bygg'!H117, År_etter_ferdigstillelse, f_tid_x_f_tek_d_0_01_kumulativ)))</f>
        <v>0</v>
      </c>
      <c r="AA114" s="336">
        <f>IF(X114=0, 0, ('Inndata Bygg'!G117+'Inndata Bygg'!O117+'Inndata Bygg'!S117)*(1+'Inndata Bygg'!K117)*Transport_utslipp_til_avfallshånderting_per_kg*IF('Inndata Bygg'!H117&gt;50, 0, _xlfn.XLOOKUP('Inndata Bygg'!H117, År_etter_ferdigstillelse, f_tid_x_f_tek_d_0_01_kumulativ)))</f>
        <v>0</v>
      </c>
      <c r="AB114" s="580" cm="1">
        <f t="array" ref="AB114">CalculateEmissionsFromIncinerationOfWaste('ZERO-B Beregning'!$D$17,'Inndata Bygg'!H117,'Inndata Bygg'!G117,'Inndata Bygg'!X117,'Inndata Bygg'!L117,'Inndata Bygg'!M117,'Inndata Bygg'!B117)</f>
        <v>0</v>
      </c>
      <c r="AC114" s="335">
        <f>IF(('Inndata Bygg'!G117+'Inndata Bygg'!O117+'Inndata Bygg'!S117) = 0, 0,('Inndata Bygg'!G117+'Inndata Bygg'!O117+'Inndata Bygg'!S117)*(('Inndata Bygg'!X117+'Inndata Bygg'!Y117+'Inndata Bygg'!AA117)*Transport_utslipp_til_avfallshånderting_per_kg+('Inndata Bygg'!Z117*'ZERO-B Beregning'!D216/1000)*IF('ZERO-B Beregning'!F217=0,'ZERO-B Beregning'!D217,'ZERO-B Beregning'!F217))*_xlfn.XLOOKUP(51, År_etter_ferdigstillelse, f_tid_x_f_tek_d_0_01))</f>
        <v>0</v>
      </c>
      <c r="AD114" s="577">
        <f>IF(('Inndata Bygg'!G117+'Inndata Bygg'!O117+'Inndata Bygg'!S117) = 0, 0,1.833*('Inndata Bygg'!G117*('Inndata Bygg'!L117*0.5+'Inndata Bygg'!M117*0.8)+'Inndata Bygg'!O117*'Inndata Bygg'!Q117+'Inndata Bygg'!S117*'Inndata Bygg'!U117)*AG114*_xlfn.XLOOKUP(51, År_etter_ferdigstillelse,  f_tid_x_f_tek_d_0_01))</f>
        <v>0</v>
      </c>
      <c r="AE114" s="575" cm="1">
        <f t="array" ref="AE114">CalculateEmissionsReductionFromReuse('ZERO-B Beregning'!$D$17,'Inndata Bygg'!H117,'Inndata Bygg'!G117,'Inndata Bygg'!Z117,'Inndata Bygg'!X117,'Inndata Bygg'!Y117,F114,'Inndata Bygg'!B117)</f>
        <v>0</v>
      </c>
      <c r="AF114" s="333" cm="1">
        <f t="array" ref="AF114">CalculateEmissionReductionFromRecycling('ZERO-B Beregning'!$D$17,'Inndata Bygg'!H117,'Inndata Bygg'!G117,'Inndata Bygg'!AA117,'Inndata Bygg'!X117,'Inndata Bygg'!Y117,F114,'Inndata Bygg'!B117)</f>
        <v>0</v>
      </c>
      <c r="AG114" s="572">
        <f>IF(('Inndata Bygg'!G117+'Inndata Bygg'!O117+'Inndata Bygg'!S117) = 0, 0,'Inndata Bygg'!X117*Faktorer!$Z$58)</f>
        <v>0</v>
      </c>
      <c r="AH114" s="573">
        <f>IF(('Inndata Bygg'!G117+'Inndata Bygg'!O117+'Inndata Bygg'!S117) = 0, 0,'Inndata Bygg'!Z117+('Inndata Bygg'!X117+'Inndata Bygg'!Y117)*(1-Faktorer!$Z$58)*0.5)</f>
        <v>0</v>
      </c>
      <c r="AI114" s="574">
        <f>IF(('Inndata Bygg'!G117+'Inndata Bygg'!O117+'Inndata Bygg'!S117) = 0, 0,'Inndata Bygg'!AA117+('Inndata Bygg'!X117+'Inndata Bygg'!Y117)*(1-Faktorer!$Z$58)*0.5)</f>
        <v>0</v>
      </c>
      <c r="AJ114" s="634"/>
      <c r="AK114" s="90">
        <f t="shared" si="3"/>
        <v>0</v>
      </c>
      <c r="AL114" s="91">
        <f>'Resultater detaljert Bygg'!N114</f>
        <v>0</v>
      </c>
      <c r="AM114" s="91" t="str">
        <f>IF(F114=0,"",('Inndata Bygg'!E117+'Inndata Bygg'!F117)*ROUNDDOWN('Inndata Bygg'!I117,0)*(1+'Inndata Bygg'!K117))</f>
        <v/>
      </c>
    </row>
    <row r="115" spans="2:39">
      <c r="B115" s="339">
        <f>'Inndata Bygg'!B118</f>
        <v>0</v>
      </c>
      <c r="C115" s="340">
        <f>'Inndata Bygg'!C118</f>
        <v>0</v>
      </c>
      <c r="D115" s="341">
        <f>'Inndata Bygg'!D118</f>
        <v>0</v>
      </c>
      <c r="E115" s="421" cm="1">
        <f t="array" ref="E115">SUM(IFERROR(F115:AD115,0))</f>
        <v>0</v>
      </c>
      <c r="F115" s="330">
        <f>'Inndata Bygg'!E118</f>
        <v>0</v>
      </c>
      <c r="G115" s="330">
        <f>IF('Inndata Bygg'!AB118="Ja", -0.8*'Resultater detaljert Bygg'!F115, 0)</f>
        <v>0</v>
      </c>
      <c r="H115" s="330">
        <f>IF('Inndata Bygg'!AC118="Ja", -0.4*'Resultater detaljert Bygg'!$F115, 0)</f>
        <v>0</v>
      </c>
      <c r="I115" s="330">
        <f>IF('Inndata Bygg'!AD118="Ja", -1*'Resultater detaljert Bygg'!$F115, 0)</f>
        <v>0</v>
      </c>
      <c r="J115" s="330">
        <f>'Inndata Bygg'!O118*'Inndata Bygg'!P118</f>
        <v>0</v>
      </c>
      <c r="K115" s="330">
        <f>MAX(-0.75*(SUM('Resultater detaljert Bygg'!F115:J115)),-'Inndata Bygg'!O118*'Inndata Bygg'!Q118)</f>
        <v>0</v>
      </c>
      <c r="L115" s="330">
        <f>'Inndata Bygg'!S118*'Inndata Bygg'!T118</f>
        <v>0</v>
      </c>
      <c r="M115" s="330">
        <f>MAX(-0.75*(SUM('Resultater detaljert Bygg'!F115:I115,L115)),-'Inndata Bygg'!S118*'Inndata Bygg'!U118)</f>
        <v>0</v>
      </c>
      <c r="N115" s="331">
        <f>'Inndata Bygg'!F118</f>
        <v>0</v>
      </c>
      <c r="O115" s="330">
        <f>'Inndata Bygg'!O118*'Inndata Bygg'!R118</f>
        <v>0</v>
      </c>
      <c r="P115" s="332">
        <f>'Inndata Bygg'!S118*'Inndata Bygg'!V118</f>
        <v>0</v>
      </c>
      <c r="Q115" s="493">
        <f>SUM(F115:J115,L115)*'Inndata Bygg'!K118</f>
        <v>0</v>
      </c>
      <c r="R115" s="333">
        <f>(K115+M115)*'Inndata Bygg'!K118</f>
        <v>0</v>
      </c>
      <c r="S115" s="493">
        <f>N115*'Inndata Bygg'!K118</f>
        <v>0</v>
      </c>
      <c r="T115" s="494">
        <f>'Inndata Bygg'!G118*'Inndata Bygg'!K118*Transport_utslipp_til_avfallshånderting_per_kg</f>
        <v>0</v>
      </c>
      <c r="U115" s="330">
        <f>IF('Inndata Bygg'!E118 = 0, 0, 1.833*'Inndata Bygg'!X118*'Inndata Bygg'!K118*('Inndata Bygg'!G118*('Inndata Bygg'!L118*0.5+'Inndata Bygg'!M118*0.8) + (12/44)*('Inndata Bygg'!O118*'Inndata Bygg'!Q118+'Inndata Bygg'!S118*'Inndata Bygg'!U118)))</f>
        <v>0</v>
      </c>
      <c r="V115" s="335" cm="1">
        <f t="array" ref="V115">CalculateBiogenicCarbonUptake('ZERO-B Beregning'!$D$17,'Inndata Bygg'!H118,'Inndata Bygg'!G118,'Inndata Bygg'!L118,F115,AB115,AC115,AD115)</f>
        <v>0</v>
      </c>
      <c r="W115" s="576" cm="1">
        <f t="array" ref="W115">CalculateCementCarbonUptake('ZERO-B Beregning'!$D$17,'Inndata Bygg'!H118,'Inndata Bygg'!G118,'Inndata Bygg'!N118)</f>
        <v>0</v>
      </c>
      <c r="X115" s="331" cm="1">
        <f t="array" ref="X115">IF(SUM(F115:J115,L115)=0, 0, SUM(F115:J115,L115)*(1+'Inndata Bygg'!K118)*IF('Inndata Bygg'!H118&gt;50, 0, _xlfn.XLOOKUP('Inndata Bygg'!H118, År_etter_ferdigstillelse, IF(VALUE(LEFT('Inndata Bygg'!B118, 2))= 49, f_tid_x_f_tek_d_0_037_kumulativ, f_tid_x_f_tek_d_0_01_kumulativ))))</f>
        <v>0</v>
      </c>
      <c r="Y115" s="330">
        <f>IF(X115=0, 0, SUM(K115,M115)*(1+'Inndata Bygg'!K118)*IF('Inndata Bygg'!H118&gt;50, 0, _xlfn.XLOOKUP('Inndata Bygg'!H118, År_etter_ferdigstillelse, f_tid_x_f_tek_d_0_01_kumulativ)))</f>
        <v>0</v>
      </c>
      <c r="Z115" s="336">
        <f>IF(X115=0, 0, SUM(N115:P115)*(1+'Inndata Bygg'!K118)*IF('Inndata Bygg'!H118&gt;50, 0, _xlfn.XLOOKUP('Inndata Bygg'!H118, År_etter_ferdigstillelse, f_tid_x_f_tek_d_0_01_kumulativ)))</f>
        <v>0</v>
      </c>
      <c r="AA115" s="336">
        <f>IF(X115=0, 0, ('Inndata Bygg'!G118+'Inndata Bygg'!O118+'Inndata Bygg'!S118)*(1+'Inndata Bygg'!K118)*Transport_utslipp_til_avfallshånderting_per_kg*IF('Inndata Bygg'!H118&gt;50, 0, _xlfn.XLOOKUP('Inndata Bygg'!H118, År_etter_ferdigstillelse, f_tid_x_f_tek_d_0_01_kumulativ)))</f>
        <v>0</v>
      </c>
      <c r="AB115" s="580" cm="1">
        <f t="array" ref="AB115">CalculateEmissionsFromIncinerationOfWaste('ZERO-B Beregning'!$D$17,'Inndata Bygg'!H118,'Inndata Bygg'!G118,'Inndata Bygg'!X118,'Inndata Bygg'!L118,'Inndata Bygg'!M118,'Inndata Bygg'!B118)</f>
        <v>0</v>
      </c>
      <c r="AC115" s="335">
        <f>IF(('Inndata Bygg'!G118+'Inndata Bygg'!O118+'Inndata Bygg'!S118) = 0, 0,('Inndata Bygg'!G118+'Inndata Bygg'!O118+'Inndata Bygg'!S118)*(('Inndata Bygg'!X118+'Inndata Bygg'!Y118+'Inndata Bygg'!AA118)*Transport_utslipp_til_avfallshånderting_per_kg+('Inndata Bygg'!Z118*'ZERO-B Beregning'!D217/1000)*IF('ZERO-B Beregning'!F218=0,'ZERO-B Beregning'!D218,'ZERO-B Beregning'!F218))*_xlfn.XLOOKUP(51, År_etter_ferdigstillelse, f_tid_x_f_tek_d_0_01))</f>
        <v>0</v>
      </c>
      <c r="AD115" s="577">
        <f>IF(('Inndata Bygg'!G118+'Inndata Bygg'!O118+'Inndata Bygg'!S118) = 0, 0,1.833*('Inndata Bygg'!G118*('Inndata Bygg'!L118*0.5+'Inndata Bygg'!M118*0.8)+'Inndata Bygg'!O118*'Inndata Bygg'!Q118+'Inndata Bygg'!S118*'Inndata Bygg'!U118)*AG115*_xlfn.XLOOKUP(51, År_etter_ferdigstillelse,  f_tid_x_f_tek_d_0_01))</f>
        <v>0</v>
      </c>
      <c r="AE115" s="575" cm="1">
        <f t="array" ref="AE115">CalculateEmissionsReductionFromReuse('ZERO-B Beregning'!$D$17,'Inndata Bygg'!H118,'Inndata Bygg'!G118,'Inndata Bygg'!Z118,'Inndata Bygg'!X118,'Inndata Bygg'!Y118,F115,'Inndata Bygg'!B118)</f>
        <v>0</v>
      </c>
      <c r="AF115" s="333" cm="1">
        <f t="array" ref="AF115">CalculateEmissionReductionFromRecycling('ZERO-B Beregning'!$D$17,'Inndata Bygg'!H118,'Inndata Bygg'!G118,'Inndata Bygg'!AA118,'Inndata Bygg'!X118,'Inndata Bygg'!Y118,F115,'Inndata Bygg'!B118)</f>
        <v>0</v>
      </c>
      <c r="AG115" s="572">
        <f>IF(('Inndata Bygg'!G118+'Inndata Bygg'!O118+'Inndata Bygg'!S118) = 0, 0,'Inndata Bygg'!X118*Faktorer!$Z$58)</f>
        <v>0</v>
      </c>
      <c r="AH115" s="573">
        <f>IF(('Inndata Bygg'!G118+'Inndata Bygg'!O118+'Inndata Bygg'!S118) = 0, 0,'Inndata Bygg'!Z118+('Inndata Bygg'!X118+'Inndata Bygg'!Y118)*(1-Faktorer!$Z$58)*0.5)</f>
        <v>0</v>
      </c>
      <c r="AI115" s="574">
        <f>IF(('Inndata Bygg'!G118+'Inndata Bygg'!O118+'Inndata Bygg'!S118) = 0, 0,'Inndata Bygg'!AA118+('Inndata Bygg'!X118+'Inndata Bygg'!Y118)*(1-Faktorer!$Z$58)*0.5)</f>
        <v>0</v>
      </c>
      <c r="AJ115" s="634"/>
      <c r="AK115" s="90">
        <f t="shared" si="3"/>
        <v>0</v>
      </c>
      <c r="AL115" s="91">
        <f>'Resultater detaljert Bygg'!N115</f>
        <v>0</v>
      </c>
      <c r="AM115" s="91" t="str">
        <f>IF(F115=0,"",('Inndata Bygg'!E118+'Inndata Bygg'!F118)*ROUNDDOWN('Inndata Bygg'!I118,0)*(1+'Inndata Bygg'!K118))</f>
        <v/>
      </c>
    </row>
    <row r="116" spans="2:39">
      <c r="B116" s="339">
        <f>'Inndata Bygg'!B119</f>
        <v>0</v>
      </c>
      <c r="C116" s="340">
        <f>'Inndata Bygg'!C119</f>
        <v>0</v>
      </c>
      <c r="D116" s="341">
        <f>'Inndata Bygg'!D119</f>
        <v>0</v>
      </c>
      <c r="E116" s="421" cm="1">
        <f t="array" ref="E116">SUM(IFERROR(F116:AD116,0))</f>
        <v>0</v>
      </c>
      <c r="F116" s="330">
        <f>'Inndata Bygg'!E119</f>
        <v>0</v>
      </c>
      <c r="G116" s="330">
        <f>IF('Inndata Bygg'!AB119="Ja", -0.8*'Resultater detaljert Bygg'!F116, 0)</f>
        <v>0</v>
      </c>
      <c r="H116" s="330">
        <f>IF('Inndata Bygg'!AC119="Ja", -0.4*'Resultater detaljert Bygg'!$F116, 0)</f>
        <v>0</v>
      </c>
      <c r="I116" s="330">
        <f>IF('Inndata Bygg'!AD119="Ja", -1*'Resultater detaljert Bygg'!$F116, 0)</f>
        <v>0</v>
      </c>
      <c r="J116" s="330">
        <f>'Inndata Bygg'!O119*'Inndata Bygg'!P119</f>
        <v>0</v>
      </c>
      <c r="K116" s="330">
        <f>MAX(-0.75*(SUM('Resultater detaljert Bygg'!F116:J116)),-'Inndata Bygg'!O119*'Inndata Bygg'!Q119)</f>
        <v>0</v>
      </c>
      <c r="L116" s="330">
        <f>'Inndata Bygg'!S119*'Inndata Bygg'!T119</f>
        <v>0</v>
      </c>
      <c r="M116" s="330">
        <f>MAX(-0.75*(SUM('Resultater detaljert Bygg'!F116:I116,L116)),-'Inndata Bygg'!S119*'Inndata Bygg'!U119)</f>
        <v>0</v>
      </c>
      <c r="N116" s="331">
        <f>'Inndata Bygg'!F119</f>
        <v>0</v>
      </c>
      <c r="O116" s="330">
        <f>'Inndata Bygg'!O119*'Inndata Bygg'!R119</f>
        <v>0</v>
      </c>
      <c r="P116" s="332">
        <f>'Inndata Bygg'!S119*'Inndata Bygg'!V119</f>
        <v>0</v>
      </c>
      <c r="Q116" s="493">
        <f>SUM(F116:J116,L116)*'Inndata Bygg'!K119</f>
        <v>0</v>
      </c>
      <c r="R116" s="333">
        <f>(K116+M116)*'Inndata Bygg'!K119</f>
        <v>0</v>
      </c>
      <c r="S116" s="493">
        <f>N116*'Inndata Bygg'!K119</f>
        <v>0</v>
      </c>
      <c r="T116" s="494">
        <f>'Inndata Bygg'!G119*'Inndata Bygg'!K119*Transport_utslipp_til_avfallshånderting_per_kg</f>
        <v>0</v>
      </c>
      <c r="U116" s="330">
        <f>IF('Inndata Bygg'!E119 = 0, 0, 1.833*'Inndata Bygg'!X119*'Inndata Bygg'!K119*('Inndata Bygg'!G119*('Inndata Bygg'!L119*0.5+'Inndata Bygg'!M119*0.8) + (12/44)*('Inndata Bygg'!O119*'Inndata Bygg'!Q119+'Inndata Bygg'!S119*'Inndata Bygg'!U119)))</f>
        <v>0</v>
      </c>
      <c r="V116" s="335" cm="1">
        <f t="array" ref="V116">CalculateBiogenicCarbonUptake('ZERO-B Beregning'!$D$17,'Inndata Bygg'!H119,'Inndata Bygg'!G119,'Inndata Bygg'!L119,F116,AB116,AC116,AD116)</f>
        <v>0</v>
      </c>
      <c r="W116" s="576" cm="1">
        <f t="array" ref="W116">CalculateCementCarbonUptake('ZERO-B Beregning'!$D$17,'Inndata Bygg'!H119,'Inndata Bygg'!G119,'Inndata Bygg'!N119)</f>
        <v>0</v>
      </c>
      <c r="X116" s="331" cm="1">
        <f t="array" ref="X116">IF(SUM(F116:J116,L116)=0, 0, SUM(F116:J116,L116)*(1+'Inndata Bygg'!K119)*IF('Inndata Bygg'!H119&gt;50, 0, _xlfn.XLOOKUP('Inndata Bygg'!H119, År_etter_ferdigstillelse, IF(VALUE(LEFT('Inndata Bygg'!B119, 2))= 49, f_tid_x_f_tek_d_0_037_kumulativ, f_tid_x_f_tek_d_0_01_kumulativ))))</f>
        <v>0</v>
      </c>
      <c r="Y116" s="330">
        <f>IF(X116=0, 0, SUM(K116,M116)*(1+'Inndata Bygg'!K119)*IF('Inndata Bygg'!H119&gt;50, 0, _xlfn.XLOOKUP('Inndata Bygg'!H119, År_etter_ferdigstillelse, f_tid_x_f_tek_d_0_01_kumulativ)))</f>
        <v>0</v>
      </c>
      <c r="Z116" s="336">
        <f>IF(X116=0, 0, SUM(N116:P116)*(1+'Inndata Bygg'!K119)*IF('Inndata Bygg'!H119&gt;50, 0, _xlfn.XLOOKUP('Inndata Bygg'!H119, År_etter_ferdigstillelse, f_tid_x_f_tek_d_0_01_kumulativ)))</f>
        <v>0</v>
      </c>
      <c r="AA116" s="336">
        <f>IF(X116=0, 0, ('Inndata Bygg'!G119+'Inndata Bygg'!O119+'Inndata Bygg'!S119)*(1+'Inndata Bygg'!K119)*Transport_utslipp_til_avfallshånderting_per_kg*IF('Inndata Bygg'!H119&gt;50, 0, _xlfn.XLOOKUP('Inndata Bygg'!H119, År_etter_ferdigstillelse, f_tid_x_f_tek_d_0_01_kumulativ)))</f>
        <v>0</v>
      </c>
      <c r="AB116" s="580" cm="1">
        <f t="array" ref="AB116">CalculateEmissionsFromIncinerationOfWaste('ZERO-B Beregning'!$D$17,'Inndata Bygg'!H119,'Inndata Bygg'!G119,'Inndata Bygg'!X119,'Inndata Bygg'!L119,'Inndata Bygg'!M119,'Inndata Bygg'!B119)</f>
        <v>0</v>
      </c>
      <c r="AC116" s="335">
        <f>IF(('Inndata Bygg'!G119+'Inndata Bygg'!O119+'Inndata Bygg'!S119) = 0, 0,('Inndata Bygg'!G119+'Inndata Bygg'!O119+'Inndata Bygg'!S119)*(('Inndata Bygg'!X119+'Inndata Bygg'!Y119+'Inndata Bygg'!AA119)*Transport_utslipp_til_avfallshånderting_per_kg+('Inndata Bygg'!Z119*'ZERO-B Beregning'!D218/1000)*IF('ZERO-B Beregning'!F219=0,'ZERO-B Beregning'!D219,'ZERO-B Beregning'!F219))*_xlfn.XLOOKUP(51, År_etter_ferdigstillelse, f_tid_x_f_tek_d_0_01))</f>
        <v>0</v>
      </c>
      <c r="AD116" s="577">
        <f>IF(('Inndata Bygg'!G119+'Inndata Bygg'!O119+'Inndata Bygg'!S119) = 0, 0,1.833*('Inndata Bygg'!G119*('Inndata Bygg'!L119*0.5+'Inndata Bygg'!M119*0.8)+'Inndata Bygg'!O119*'Inndata Bygg'!Q119+'Inndata Bygg'!S119*'Inndata Bygg'!U119)*AG116*_xlfn.XLOOKUP(51, År_etter_ferdigstillelse,  f_tid_x_f_tek_d_0_01))</f>
        <v>0</v>
      </c>
      <c r="AE116" s="575" cm="1">
        <f t="array" ref="AE116">CalculateEmissionsReductionFromReuse('ZERO-B Beregning'!$D$17,'Inndata Bygg'!H119,'Inndata Bygg'!G119,'Inndata Bygg'!Z119,'Inndata Bygg'!X119,'Inndata Bygg'!Y119,F116,'Inndata Bygg'!B119)</f>
        <v>0</v>
      </c>
      <c r="AF116" s="333" cm="1">
        <f t="array" ref="AF116">CalculateEmissionReductionFromRecycling('ZERO-B Beregning'!$D$17,'Inndata Bygg'!H119,'Inndata Bygg'!G119,'Inndata Bygg'!AA119,'Inndata Bygg'!X119,'Inndata Bygg'!Y119,F116,'Inndata Bygg'!B119)</f>
        <v>0</v>
      </c>
      <c r="AG116" s="572">
        <f>IF(('Inndata Bygg'!G119+'Inndata Bygg'!O119+'Inndata Bygg'!S119) = 0, 0,'Inndata Bygg'!X119*Faktorer!$Z$58)</f>
        <v>0</v>
      </c>
      <c r="AH116" s="573">
        <f>IF(('Inndata Bygg'!G119+'Inndata Bygg'!O119+'Inndata Bygg'!S119) = 0, 0,'Inndata Bygg'!Z119+('Inndata Bygg'!X119+'Inndata Bygg'!Y119)*(1-Faktorer!$Z$58)*0.5)</f>
        <v>0</v>
      </c>
      <c r="AI116" s="574">
        <f>IF(('Inndata Bygg'!G119+'Inndata Bygg'!O119+'Inndata Bygg'!S119) = 0, 0,'Inndata Bygg'!AA119+('Inndata Bygg'!X119+'Inndata Bygg'!Y119)*(1-Faktorer!$Z$58)*0.5)</f>
        <v>0</v>
      </c>
      <c r="AJ116" s="634"/>
      <c r="AK116" s="90">
        <f t="shared" si="3"/>
        <v>0</v>
      </c>
      <c r="AL116" s="91">
        <f>'Resultater detaljert Bygg'!N116</f>
        <v>0</v>
      </c>
      <c r="AM116" s="91" t="str">
        <f>IF(F116=0,"",('Inndata Bygg'!E119+'Inndata Bygg'!F119)*ROUNDDOWN('Inndata Bygg'!I119,0)*(1+'Inndata Bygg'!K119))</f>
        <v/>
      </c>
    </row>
    <row r="117" spans="2:39">
      <c r="B117" s="339">
        <f>'Inndata Bygg'!B120</f>
        <v>0</v>
      </c>
      <c r="C117" s="340">
        <f>'Inndata Bygg'!C120</f>
        <v>0</v>
      </c>
      <c r="D117" s="341">
        <f>'Inndata Bygg'!D120</f>
        <v>0</v>
      </c>
      <c r="E117" s="421" cm="1">
        <f t="array" ref="E117">SUM(IFERROR(F117:AD117,0))</f>
        <v>0</v>
      </c>
      <c r="F117" s="330">
        <f>'Inndata Bygg'!E120</f>
        <v>0</v>
      </c>
      <c r="G117" s="330">
        <f>IF('Inndata Bygg'!AB120="Ja", -0.8*'Resultater detaljert Bygg'!F117, 0)</f>
        <v>0</v>
      </c>
      <c r="H117" s="330">
        <f>IF('Inndata Bygg'!AC120="Ja", -0.4*'Resultater detaljert Bygg'!$F117, 0)</f>
        <v>0</v>
      </c>
      <c r="I117" s="330">
        <f>IF('Inndata Bygg'!AD120="Ja", -1*'Resultater detaljert Bygg'!$F117, 0)</f>
        <v>0</v>
      </c>
      <c r="J117" s="330">
        <f>'Inndata Bygg'!O120*'Inndata Bygg'!P120</f>
        <v>0</v>
      </c>
      <c r="K117" s="330">
        <f>MAX(-0.75*(SUM('Resultater detaljert Bygg'!F117:J117)),-'Inndata Bygg'!O120*'Inndata Bygg'!Q120)</f>
        <v>0</v>
      </c>
      <c r="L117" s="330">
        <f>'Inndata Bygg'!S120*'Inndata Bygg'!T120</f>
        <v>0</v>
      </c>
      <c r="M117" s="330">
        <f>MAX(-0.75*(SUM('Resultater detaljert Bygg'!F117:I117,L117)),-'Inndata Bygg'!S120*'Inndata Bygg'!U120)</f>
        <v>0</v>
      </c>
      <c r="N117" s="331">
        <f>'Inndata Bygg'!F120</f>
        <v>0</v>
      </c>
      <c r="O117" s="330">
        <f>'Inndata Bygg'!O120*'Inndata Bygg'!R120</f>
        <v>0</v>
      </c>
      <c r="P117" s="332">
        <f>'Inndata Bygg'!S120*'Inndata Bygg'!V120</f>
        <v>0</v>
      </c>
      <c r="Q117" s="493">
        <f>SUM(F117:J117,L117)*'Inndata Bygg'!K120</f>
        <v>0</v>
      </c>
      <c r="R117" s="333">
        <f>(K117+M117)*'Inndata Bygg'!K120</f>
        <v>0</v>
      </c>
      <c r="S117" s="493">
        <f>N117*'Inndata Bygg'!K120</f>
        <v>0</v>
      </c>
      <c r="T117" s="494">
        <f>'Inndata Bygg'!G120*'Inndata Bygg'!K120*Transport_utslipp_til_avfallshånderting_per_kg</f>
        <v>0</v>
      </c>
      <c r="U117" s="330">
        <f>IF('Inndata Bygg'!E120 = 0, 0, 1.833*'Inndata Bygg'!X120*'Inndata Bygg'!K120*('Inndata Bygg'!G120*('Inndata Bygg'!L120*0.5+'Inndata Bygg'!M120*0.8) + (12/44)*('Inndata Bygg'!O120*'Inndata Bygg'!Q120+'Inndata Bygg'!S120*'Inndata Bygg'!U120)))</f>
        <v>0</v>
      </c>
      <c r="V117" s="335" cm="1">
        <f t="array" ref="V117">CalculateBiogenicCarbonUptake('ZERO-B Beregning'!$D$17,'Inndata Bygg'!H120,'Inndata Bygg'!G120,'Inndata Bygg'!L120,F117,AB117,AC117,AD117)</f>
        <v>0</v>
      </c>
      <c r="W117" s="576" cm="1">
        <f t="array" ref="W117">CalculateCementCarbonUptake('ZERO-B Beregning'!$D$17,'Inndata Bygg'!H120,'Inndata Bygg'!G120,'Inndata Bygg'!N120)</f>
        <v>0</v>
      </c>
      <c r="X117" s="331" cm="1">
        <f t="array" ref="X117">IF(SUM(F117:J117,L117)=0, 0, SUM(F117:J117,L117)*(1+'Inndata Bygg'!K120)*IF('Inndata Bygg'!H120&gt;50, 0, _xlfn.XLOOKUP('Inndata Bygg'!H120, År_etter_ferdigstillelse, IF(VALUE(LEFT('Inndata Bygg'!B120, 2))= 49, f_tid_x_f_tek_d_0_037_kumulativ, f_tid_x_f_tek_d_0_01_kumulativ))))</f>
        <v>0</v>
      </c>
      <c r="Y117" s="330">
        <f>IF(X117=0, 0, SUM(K117,M117)*(1+'Inndata Bygg'!K120)*IF('Inndata Bygg'!H120&gt;50, 0, _xlfn.XLOOKUP('Inndata Bygg'!H120, År_etter_ferdigstillelse, f_tid_x_f_tek_d_0_01_kumulativ)))</f>
        <v>0</v>
      </c>
      <c r="Z117" s="336">
        <f>IF(X117=0, 0, SUM(N117:P117)*(1+'Inndata Bygg'!K120)*IF('Inndata Bygg'!H120&gt;50, 0, _xlfn.XLOOKUP('Inndata Bygg'!H120, År_etter_ferdigstillelse, f_tid_x_f_tek_d_0_01_kumulativ)))</f>
        <v>0</v>
      </c>
      <c r="AA117" s="336">
        <f>IF(X117=0, 0, ('Inndata Bygg'!G120+'Inndata Bygg'!O120+'Inndata Bygg'!S120)*(1+'Inndata Bygg'!K120)*Transport_utslipp_til_avfallshånderting_per_kg*IF('Inndata Bygg'!H120&gt;50, 0, _xlfn.XLOOKUP('Inndata Bygg'!H120, År_etter_ferdigstillelse, f_tid_x_f_tek_d_0_01_kumulativ)))</f>
        <v>0</v>
      </c>
      <c r="AB117" s="580" cm="1">
        <f t="array" ref="AB117">CalculateEmissionsFromIncinerationOfWaste('ZERO-B Beregning'!$D$17,'Inndata Bygg'!H120,'Inndata Bygg'!G120,'Inndata Bygg'!X120,'Inndata Bygg'!L120,'Inndata Bygg'!M120,'Inndata Bygg'!B120)</f>
        <v>0</v>
      </c>
      <c r="AC117" s="335">
        <f>IF(('Inndata Bygg'!G120+'Inndata Bygg'!O120+'Inndata Bygg'!S120) = 0, 0,('Inndata Bygg'!G120+'Inndata Bygg'!O120+'Inndata Bygg'!S120)*(('Inndata Bygg'!X120+'Inndata Bygg'!Y120+'Inndata Bygg'!AA120)*Transport_utslipp_til_avfallshånderting_per_kg+('Inndata Bygg'!Z120*'ZERO-B Beregning'!D219/1000)*IF('ZERO-B Beregning'!F220=0,'ZERO-B Beregning'!D220,'ZERO-B Beregning'!F220))*_xlfn.XLOOKUP(51, År_etter_ferdigstillelse, f_tid_x_f_tek_d_0_01))</f>
        <v>0</v>
      </c>
      <c r="AD117" s="577">
        <f>IF(('Inndata Bygg'!G120+'Inndata Bygg'!O120+'Inndata Bygg'!S120) = 0, 0,1.833*('Inndata Bygg'!G120*('Inndata Bygg'!L120*0.5+'Inndata Bygg'!M120*0.8)+'Inndata Bygg'!O120*'Inndata Bygg'!Q120+'Inndata Bygg'!S120*'Inndata Bygg'!U120)*AG117*_xlfn.XLOOKUP(51, År_etter_ferdigstillelse,  f_tid_x_f_tek_d_0_01))</f>
        <v>0</v>
      </c>
      <c r="AE117" s="575" cm="1">
        <f t="array" ref="AE117">CalculateEmissionsReductionFromReuse('ZERO-B Beregning'!$D$17,'Inndata Bygg'!H120,'Inndata Bygg'!G120,'Inndata Bygg'!Z120,'Inndata Bygg'!X120,'Inndata Bygg'!Y120,F117,'Inndata Bygg'!B120)</f>
        <v>0</v>
      </c>
      <c r="AF117" s="333" cm="1">
        <f t="array" ref="AF117">CalculateEmissionReductionFromRecycling('ZERO-B Beregning'!$D$17,'Inndata Bygg'!H120,'Inndata Bygg'!G120,'Inndata Bygg'!AA120,'Inndata Bygg'!X120,'Inndata Bygg'!Y120,F117,'Inndata Bygg'!B120)</f>
        <v>0</v>
      </c>
      <c r="AG117" s="572">
        <f>IF(('Inndata Bygg'!G120+'Inndata Bygg'!O120+'Inndata Bygg'!S120) = 0, 0,'Inndata Bygg'!X120*Faktorer!$Z$58)</f>
        <v>0</v>
      </c>
      <c r="AH117" s="573">
        <f>IF(('Inndata Bygg'!G120+'Inndata Bygg'!O120+'Inndata Bygg'!S120) = 0, 0,'Inndata Bygg'!Z120+('Inndata Bygg'!X120+'Inndata Bygg'!Y120)*(1-Faktorer!$Z$58)*0.5)</f>
        <v>0</v>
      </c>
      <c r="AI117" s="574">
        <f>IF(('Inndata Bygg'!G120+'Inndata Bygg'!O120+'Inndata Bygg'!S120) = 0, 0,'Inndata Bygg'!AA120+('Inndata Bygg'!X120+'Inndata Bygg'!Y120)*(1-Faktorer!$Z$58)*0.5)</f>
        <v>0</v>
      </c>
      <c r="AJ117" s="634"/>
      <c r="AK117" s="90">
        <f t="shared" si="3"/>
        <v>0</v>
      </c>
      <c r="AL117" s="91">
        <f>'Resultater detaljert Bygg'!N117</f>
        <v>0</v>
      </c>
      <c r="AM117" s="91" t="str">
        <f>IF(F117=0,"",('Inndata Bygg'!E120+'Inndata Bygg'!F120)*ROUNDDOWN('Inndata Bygg'!I120,0)*(1+'Inndata Bygg'!K120))</f>
        <v/>
      </c>
    </row>
    <row r="118" spans="2:39">
      <c r="B118" s="339">
        <f>'Inndata Bygg'!B121</f>
        <v>0</v>
      </c>
      <c r="C118" s="340">
        <f>'Inndata Bygg'!C121</f>
        <v>0</v>
      </c>
      <c r="D118" s="341">
        <f>'Inndata Bygg'!D121</f>
        <v>0</v>
      </c>
      <c r="E118" s="421" cm="1">
        <f t="array" ref="E118">SUM(IFERROR(F118:AD118,0))</f>
        <v>0</v>
      </c>
      <c r="F118" s="330">
        <f>'Inndata Bygg'!E121</f>
        <v>0</v>
      </c>
      <c r="G118" s="330">
        <f>IF('Inndata Bygg'!AB121="Ja", -0.8*'Resultater detaljert Bygg'!F118, 0)</f>
        <v>0</v>
      </c>
      <c r="H118" s="330">
        <f>IF('Inndata Bygg'!AC121="Ja", -0.4*'Resultater detaljert Bygg'!$F118, 0)</f>
        <v>0</v>
      </c>
      <c r="I118" s="330">
        <f>IF('Inndata Bygg'!AD121="Ja", -1*'Resultater detaljert Bygg'!$F118, 0)</f>
        <v>0</v>
      </c>
      <c r="J118" s="330">
        <f>'Inndata Bygg'!O121*'Inndata Bygg'!P121</f>
        <v>0</v>
      </c>
      <c r="K118" s="330">
        <f>MAX(-0.75*(SUM('Resultater detaljert Bygg'!F118:J118)),-'Inndata Bygg'!O121*'Inndata Bygg'!Q121)</f>
        <v>0</v>
      </c>
      <c r="L118" s="330">
        <f>'Inndata Bygg'!S121*'Inndata Bygg'!T121</f>
        <v>0</v>
      </c>
      <c r="M118" s="330">
        <f>MAX(-0.75*(SUM('Resultater detaljert Bygg'!F118:I118,L118)),-'Inndata Bygg'!S121*'Inndata Bygg'!U121)</f>
        <v>0</v>
      </c>
      <c r="N118" s="331">
        <f>'Inndata Bygg'!F121</f>
        <v>0</v>
      </c>
      <c r="O118" s="330">
        <f>'Inndata Bygg'!O121*'Inndata Bygg'!R121</f>
        <v>0</v>
      </c>
      <c r="P118" s="332">
        <f>'Inndata Bygg'!S121*'Inndata Bygg'!V121</f>
        <v>0</v>
      </c>
      <c r="Q118" s="493">
        <f>SUM(F118:J118,L118)*'Inndata Bygg'!K121</f>
        <v>0</v>
      </c>
      <c r="R118" s="333">
        <f>(K118+M118)*'Inndata Bygg'!K121</f>
        <v>0</v>
      </c>
      <c r="S118" s="493">
        <f>N118*'Inndata Bygg'!K121</f>
        <v>0</v>
      </c>
      <c r="T118" s="494">
        <f>'Inndata Bygg'!G121*'Inndata Bygg'!K121*Transport_utslipp_til_avfallshånderting_per_kg</f>
        <v>0</v>
      </c>
      <c r="U118" s="330">
        <f>IF('Inndata Bygg'!E121 = 0, 0, 1.833*'Inndata Bygg'!X121*'Inndata Bygg'!K121*('Inndata Bygg'!G121*('Inndata Bygg'!L121*0.5+'Inndata Bygg'!M121*0.8) + (12/44)*('Inndata Bygg'!O121*'Inndata Bygg'!Q121+'Inndata Bygg'!S121*'Inndata Bygg'!U121)))</f>
        <v>0</v>
      </c>
      <c r="V118" s="335" cm="1">
        <f t="array" ref="V118">CalculateBiogenicCarbonUptake('ZERO-B Beregning'!$D$17,'Inndata Bygg'!H121,'Inndata Bygg'!G121,'Inndata Bygg'!L121,F118,AB118,AC118,AD118)</f>
        <v>0</v>
      </c>
      <c r="W118" s="576" cm="1">
        <f t="array" ref="W118">CalculateCementCarbonUptake('ZERO-B Beregning'!$D$17,'Inndata Bygg'!H121,'Inndata Bygg'!G121,'Inndata Bygg'!N121)</f>
        <v>0</v>
      </c>
      <c r="X118" s="331" cm="1">
        <f t="array" ref="X118">IF(SUM(F118:J118,L118)=0, 0, SUM(F118:J118,L118)*(1+'Inndata Bygg'!K121)*IF('Inndata Bygg'!H121&gt;50, 0, _xlfn.XLOOKUP('Inndata Bygg'!H121, År_etter_ferdigstillelse, IF(VALUE(LEFT('Inndata Bygg'!B121, 2))= 49, f_tid_x_f_tek_d_0_037_kumulativ, f_tid_x_f_tek_d_0_01_kumulativ))))</f>
        <v>0</v>
      </c>
      <c r="Y118" s="330">
        <f>IF(X118=0, 0, SUM(K118,M118)*(1+'Inndata Bygg'!K121)*IF('Inndata Bygg'!H121&gt;50, 0, _xlfn.XLOOKUP('Inndata Bygg'!H121, År_etter_ferdigstillelse, f_tid_x_f_tek_d_0_01_kumulativ)))</f>
        <v>0</v>
      </c>
      <c r="Z118" s="336">
        <f>IF(X118=0, 0, SUM(N118:P118)*(1+'Inndata Bygg'!K121)*IF('Inndata Bygg'!H121&gt;50, 0, _xlfn.XLOOKUP('Inndata Bygg'!H121, År_etter_ferdigstillelse, f_tid_x_f_tek_d_0_01_kumulativ)))</f>
        <v>0</v>
      </c>
      <c r="AA118" s="336">
        <f>IF(X118=0, 0, ('Inndata Bygg'!G121+'Inndata Bygg'!O121+'Inndata Bygg'!S121)*(1+'Inndata Bygg'!K121)*Transport_utslipp_til_avfallshånderting_per_kg*IF('Inndata Bygg'!H121&gt;50, 0, _xlfn.XLOOKUP('Inndata Bygg'!H121, År_etter_ferdigstillelse, f_tid_x_f_tek_d_0_01_kumulativ)))</f>
        <v>0</v>
      </c>
      <c r="AB118" s="580" cm="1">
        <f t="array" ref="AB118">CalculateEmissionsFromIncinerationOfWaste('ZERO-B Beregning'!$D$17,'Inndata Bygg'!H121,'Inndata Bygg'!G121,'Inndata Bygg'!X121,'Inndata Bygg'!L121,'Inndata Bygg'!M121,'Inndata Bygg'!B121)</f>
        <v>0</v>
      </c>
      <c r="AC118" s="335">
        <f>IF(('Inndata Bygg'!G121+'Inndata Bygg'!O121+'Inndata Bygg'!S121) = 0, 0,('Inndata Bygg'!G121+'Inndata Bygg'!O121+'Inndata Bygg'!S121)*(('Inndata Bygg'!X121+'Inndata Bygg'!Y121+'Inndata Bygg'!AA121)*Transport_utslipp_til_avfallshånderting_per_kg+('Inndata Bygg'!Z121*'ZERO-B Beregning'!D220/1000)*IF('ZERO-B Beregning'!F221=0,'ZERO-B Beregning'!D221,'ZERO-B Beregning'!F221))*_xlfn.XLOOKUP(51, År_etter_ferdigstillelse, f_tid_x_f_tek_d_0_01))</f>
        <v>0</v>
      </c>
      <c r="AD118" s="577">
        <f>IF(('Inndata Bygg'!G121+'Inndata Bygg'!O121+'Inndata Bygg'!S121) = 0, 0,1.833*('Inndata Bygg'!G121*('Inndata Bygg'!L121*0.5+'Inndata Bygg'!M121*0.8)+'Inndata Bygg'!O121*'Inndata Bygg'!Q121+'Inndata Bygg'!S121*'Inndata Bygg'!U121)*AG118*_xlfn.XLOOKUP(51, År_etter_ferdigstillelse,  f_tid_x_f_tek_d_0_01))</f>
        <v>0</v>
      </c>
      <c r="AE118" s="575" cm="1">
        <f t="array" ref="AE118">CalculateEmissionsReductionFromReuse('ZERO-B Beregning'!$D$17,'Inndata Bygg'!H121,'Inndata Bygg'!G121,'Inndata Bygg'!Z121,'Inndata Bygg'!X121,'Inndata Bygg'!Y121,F118,'Inndata Bygg'!B121)</f>
        <v>0</v>
      </c>
      <c r="AF118" s="333" cm="1">
        <f t="array" ref="AF118">CalculateEmissionReductionFromRecycling('ZERO-B Beregning'!$D$17,'Inndata Bygg'!H121,'Inndata Bygg'!G121,'Inndata Bygg'!AA121,'Inndata Bygg'!X121,'Inndata Bygg'!Y121,F118,'Inndata Bygg'!B121)</f>
        <v>0</v>
      </c>
      <c r="AG118" s="572">
        <f>IF(('Inndata Bygg'!G121+'Inndata Bygg'!O121+'Inndata Bygg'!S121) = 0, 0,'Inndata Bygg'!X121*Faktorer!$Z$58)</f>
        <v>0</v>
      </c>
      <c r="AH118" s="573">
        <f>IF(('Inndata Bygg'!G121+'Inndata Bygg'!O121+'Inndata Bygg'!S121) = 0, 0,'Inndata Bygg'!Z121+('Inndata Bygg'!X121+'Inndata Bygg'!Y121)*(1-Faktorer!$Z$58)*0.5)</f>
        <v>0</v>
      </c>
      <c r="AI118" s="574">
        <f>IF(('Inndata Bygg'!G121+'Inndata Bygg'!O121+'Inndata Bygg'!S121) = 0, 0,'Inndata Bygg'!AA121+('Inndata Bygg'!X121+'Inndata Bygg'!Y121)*(1-Faktorer!$Z$58)*0.5)</f>
        <v>0</v>
      </c>
      <c r="AJ118" s="634"/>
      <c r="AK118" s="90">
        <f t="shared" si="3"/>
        <v>0</v>
      </c>
      <c r="AL118" s="91">
        <f>'Resultater detaljert Bygg'!N118</f>
        <v>0</v>
      </c>
      <c r="AM118" s="91" t="str">
        <f>IF(F118=0,"",('Inndata Bygg'!E121+'Inndata Bygg'!F121)*ROUNDDOWN('Inndata Bygg'!I121,0)*(1+'Inndata Bygg'!K121))</f>
        <v/>
      </c>
    </row>
    <row r="119" spans="2:39">
      <c r="B119" s="339">
        <f>'Inndata Bygg'!B122</f>
        <v>0</v>
      </c>
      <c r="C119" s="340">
        <f>'Inndata Bygg'!C122</f>
        <v>0</v>
      </c>
      <c r="D119" s="341">
        <f>'Inndata Bygg'!D122</f>
        <v>0</v>
      </c>
      <c r="E119" s="421" cm="1">
        <f t="array" ref="E119">SUM(IFERROR(F119:AD119,0))</f>
        <v>0</v>
      </c>
      <c r="F119" s="330">
        <f>'Inndata Bygg'!E122</f>
        <v>0</v>
      </c>
      <c r="G119" s="330">
        <f>IF('Inndata Bygg'!AB122="Ja", -0.8*'Resultater detaljert Bygg'!F119, 0)</f>
        <v>0</v>
      </c>
      <c r="H119" s="330">
        <f>IF('Inndata Bygg'!AC122="Ja", -0.4*'Resultater detaljert Bygg'!$F119, 0)</f>
        <v>0</v>
      </c>
      <c r="I119" s="330">
        <f>IF('Inndata Bygg'!AD122="Ja", -1*'Resultater detaljert Bygg'!$F119, 0)</f>
        <v>0</v>
      </c>
      <c r="J119" s="330">
        <f>'Inndata Bygg'!O122*'Inndata Bygg'!P122</f>
        <v>0</v>
      </c>
      <c r="K119" s="330">
        <f>MAX(-0.75*(SUM('Resultater detaljert Bygg'!F119:J119)),-'Inndata Bygg'!O122*'Inndata Bygg'!Q122)</f>
        <v>0</v>
      </c>
      <c r="L119" s="330">
        <f>'Inndata Bygg'!S122*'Inndata Bygg'!T122</f>
        <v>0</v>
      </c>
      <c r="M119" s="330">
        <f>MAX(-0.75*(SUM('Resultater detaljert Bygg'!F119:I119,L119)),-'Inndata Bygg'!S122*'Inndata Bygg'!U122)</f>
        <v>0</v>
      </c>
      <c r="N119" s="331">
        <f>'Inndata Bygg'!F122</f>
        <v>0</v>
      </c>
      <c r="O119" s="330">
        <f>'Inndata Bygg'!O122*'Inndata Bygg'!R122</f>
        <v>0</v>
      </c>
      <c r="P119" s="332">
        <f>'Inndata Bygg'!S122*'Inndata Bygg'!V122</f>
        <v>0</v>
      </c>
      <c r="Q119" s="493">
        <f>SUM(F119:J119,L119)*'Inndata Bygg'!K122</f>
        <v>0</v>
      </c>
      <c r="R119" s="333">
        <f>(K119+M119)*'Inndata Bygg'!K122</f>
        <v>0</v>
      </c>
      <c r="S119" s="493">
        <f>N119*'Inndata Bygg'!K122</f>
        <v>0</v>
      </c>
      <c r="T119" s="494">
        <f>'Inndata Bygg'!G122*'Inndata Bygg'!K122*Transport_utslipp_til_avfallshånderting_per_kg</f>
        <v>0</v>
      </c>
      <c r="U119" s="330">
        <f>IF('Inndata Bygg'!E122 = 0, 0, 1.833*'Inndata Bygg'!X122*'Inndata Bygg'!K122*('Inndata Bygg'!G122*('Inndata Bygg'!L122*0.5+'Inndata Bygg'!M122*0.8) + (12/44)*('Inndata Bygg'!O122*'Inndata Bygg'!Q122+'Inndata Bygg'!S122*'Inndata Bygg'!U122)))</f>
        <v>0</v>
      </c>
      <c r="V119" s="335" cm="1">
        <f t="array" ref="V119">CalculateBiogenicCarbonUptake('ZERO-B Beregning'!$D$17,'Inndata Bygg'!H122,'Inndata Bygg'!G122,'Inndata Bygg'!L122,F119,AB119,AC119,AD119)</f>
        <v>0</v>
      </c>
      <c r="W119" s="576" cm="1">
        <f t="array" ref="W119">CalculateCementCarbonUptake('ZERO-B Beregning'!$D$17,'Inndata Bygg'!H122,'Inndata Bygg'!G122,'Inndata Bygg'!N122)</f>
        <v>0</v>
      </c>
      <c r="X119" s="331" cm="1">
        <f t="array" ref="X119">IF(SUM(F119:J119,L119)=0, 0, SUM(F119:J119,L119)*(1+'Inndata Bygg'!K122)*IF('Inndata Bygg'!H122&gt;50, 0, _xlfn.XLOOKUP('Inndata Bygg'!H122, År_etter_ferdigstillelse, IF(VALUE(LEFT('Inndata Bygg'!B122, 2))= 49, f_tid_x_f_tek_d_0_037_kumulativ, f_tid_x_f_tek_d_0_01_kumulativ))))</f>
        <v>0</v>
      </c>
      <c r="Y119" s="330">
        <f>IF(X119=0, 0, SUM(K119,M119)*(1+'Inndata Bygg'!K122)*IF('Inndata Bygg'!H122&gt;50, 0, _xlfn.XLOOKUP('Inndata Bygg'!H122, År_etter_ferdigstillelse, f_tid_x_f_tek_d_0_01_kumulativ)))</f>
        <v>0</v>
      </c>
      <c r="Z119" s="336">
        <f>IF(X119=0, 0, SUM(N119:P119)*(1+'Inndata Bygg'!K122)*IF('Inndata Bygg'!H122&gt;50, 0, _xlfn.XLOOKUP('Inndata Bygg'!H122, År_etter_ferdigstillelse, f_tid_x_f_tek_d_0_01_kumulativ)))</f>
        <v>0</v>
      </c>
      <c r="AA119" s="336">
        <f>IF(X119=0, 0, ('Inndata Bygg'!G122+'Inndata Bygg'!O122+'Inndata Bygg'!S122)*(1+'Inndata Bygg'!K122)*Transport_utslipp_til_avfallshånderting_per_kg*IF('Inndata Bygg'!H122&gt;50, 0, _xlfn.XLOOKUP('Inndata Bygg'!H122, År_etter_ferdigstillelse, f_tid_x_f_tek_d_0_01_kumulativ)))</f>
        <v>0</v>
      </c>
      <c r="AB119" s="580" cm="1">
        <f t="array" ref="AB119">CalculateEmissionsFromIncinerationOfWaste('ZERO-B Beregning'!$D$17,'Inndata Bygg'!H122,'Inndata Bygg'!G122,'Inndata Bygg'!X122,'Inndata Bygg'!L122,'Inndata Bygg'!M122,'Inndata Bygg'!B122)</f>
        <v>0</v>
      </c>
      <c r="AC119" s="335">
        <f>IF(('Inndata Bygg'!G122+'Inndata Bygg'!O122+'Inndata Bygg'!S122) = 0, 0,('Inndata Bygg'!G122+'Inndata Bygg'!O122+'Inndata Bygg'!S122)*(('Inndata Bygg'!X122+'Inndata Bygg'!Y122+'Inndata Bygg'!AA122)*Transport_utslipp_til_avfallshånderting_per_kg+('Inndata Bygg'!Z122*'ZERO-B Beregning'!D221/1000)*IF('ZERO-B Beregning'!F222=0,'ZERO-B Beregning'!D222,'ZERO-B Beregning'!F222))*_xlfn.XLOOKUP(51, År_etter_ferdigstillelse, f_tid_x_f_tek_d_0_01))</f>
        <v>0</v>
      </c>
      <c r="AD119" s="577">
        <f>IF(('Inndata Bygg'!G122+'Inndata Bygg'!O122+'Inndata Bygg'!S122) = 0, 0,1.833*('Inndata Bygg'!G122*('Inndata Bygg'!L122*0.5+'Inndata Bygg'!M122*0.8)+'Inndata Bygg'!O122*'Inndata Bygg'!Q122+'Inndata Bygg'!S122*'Inndata Bygg'!U122)*AG119*_xlfn.XLOOKUP(51, År_etter_ferdigstillelse,  f_tid_x_f_tek_d_0_01))</f>
        <v>0</v>
      </c>
      <c r="AE119" s="575" cm="1">
        <f t="array" ref="AE119">CalculateEmissionsReductionFromReuse('ZERO-B Beregning'!$D$17,'Inndata Bygg'!H122,'Inndata Bygg'!G122,'Inndata Bygg'!Z122,'Inndata Bygg'!X122,'Inndata Bygg'!Y122,F119,'Inndata Bygg'!B122)</f>
        <v>0</v>
      </c>
      <c r="AF119" s="333" cm="1">
        <f t="array" ref="AF119">CalculateEmissionReductionFromRecycling('ZERO-B Beregning'!$D$17,'Inndata Bygg'!H122,'Inndata Bygg'!G122,'Inndata Bygg'!AA122,'Inndata Bygg'!X122,'Inndata Bygg'!Y122,F119,'Inndata Bygg'!B122)</f>
        <v>0</v>
      </c>
      <c r="AG119" s="572">
        <f>IF(('Inndata Bygg'!G122+'Inndata Bygg'!O122+'Inndata Bygg'!S122) = 0, 0,'Inndata Bygg'!X122*Faktorer!$Z$58)</f>
        <v>0</v>
      </c>
      <c r="AH119" s="573">
        <f>IF(('Inndata Bygg'!G122+'Inndata Bygg'!O122+'Inndata Bygg'!S122) = 0, 0,'Inndata Bygg'!Z122+('Inndata Bygg'!X122+'Inndata Bygg'!Y122)*(1-Faktorer!$Z$58)*0.5)</f>
        <v>0</v>
      </c>
      <c r="AI119" s="574">
        <f>IF(('Inndata Bygg'!G122+'Inndata Bygg'!O122+'Inndata Bygg'!S122) = 0, 0,'Inndata Bygg'!AA122+('Inndata Bygg'!X122+'Inndata Bygg'!Y122)*(1-Faktorer!$Z$58)*0.5)</f>
        <v>0</v>
      </c>
      <c r="AJ119" s="634"/>
      <c r="AK119" s="90">
        <f t="shared" si="3"/>
        <v>0</v>
      </c>
      <c r="AL119" s="91">
        <f>'Resultater detaljert Bygg'!N119</f>
        <v>0</v>
      </c>
      <c r="AM119" s="91" t="str">
        <f>IF(F119=0,"",('Inndata Bygg'!E122+'Inndata Bygg'!F122)*ROUNDDOWN('Inndata Bygg'!I122,0)*(1+'Inndata Bygg'!K122))</f>
        <v/>
      </c>
    </row>
    <row r="120" spans="2:39">
      <c r="B120" s="339">
        <f>'Inndata Bygg'!B123</f>
        <v>0</v>
      </c>
      <c r="C120" s="340">
        <f>'Inndata Bygg'!C123</f>
        <v>0</v>
      </c>
      <c r="D120" s="341">
        <f>'Inndata Bygg'!D123</f>
        <v>0</v>
      </c>
      <c r="E120" s="421" cm="1">
        <f t="array" ref="E120">SUM(IFERROR(F120:AD120,0))</f>
        <v>0</v>
      </c>
      <c r="F120" s="330">
        <f>'Inndata Bygg'!E123</f>
        <v>0</v>
      </c>
      <c r="G120" s="330">
        <f>IF('Inndata Bygg'!AB123="Ja", -0.8*'Resultater detaljert Bygg'!F120, 0)</f>
        <v>0</v>
      </c>
      <c r="H120" s="330">
        <f>IF('Inndata Bygg'!AC123="Ja", -0.4*'Resultater detaljert Bygg'!$F120, 0)</f>
        <v>0</v>
      </c>
      <c r="I120" s="330">
        <f>IF('Inndata Bygg'!AD123="Ja", -1*'Resultater detaljert Bygg'!$F120, 0)</f>
        <v>0</v>
      </c>
      <c r="J120" s="330">
        <f>'Inndata Bygg'!O123*'Inndata Bygg'!P123</f>
        <v>0</v>
      </c>
      <c r="K120" s="330">
        <f>MAX(-0.75*(SUM('Resultater detaljert Bygg'!F120:J120)),-'Inndata Bygg'!O123*'Inndata Bygg'!Q123)</f>
        <v>0</v>
      </c>
      <c r="L120" s="330">
        <f>'Inndata Bygg'!S123*'Inndata Bygg'!T123</f>
        <v>0</v>
      </c>
      <c r="M120" s="330">
        <f>MAX(-0.75*(SUM('Resultater detaljert Bygg'!F120:I120,L120)),-'Inndata Bygg'!S123*'Inndata Bygg'!U123)</f>
        <v>0</v>
      </c>
      <c r="N120" s="331">
        <f>'Inndata Bygg'!F123</f>
        <v>0</v>
      </c>
      <c r="O120" s="330">
        <f>'Inndata Bygg'!O123*'Inndata Bygg'!R123</f>
        <v>0</v>
      </c>
      <c r="P120" s="332">
        <f>'Inndata Bygg'!S123*'Inndata Bygg'!V123</f>
        <v>0</v>
      </c>
      <c r="Q120" s="493">
        <f>SUM(F120:J120,L120)*'Inndata Bygg'!K123</f>
        <v>0</v>
      </c>
      <c r="R120" s="333">
        <f>(K120+M120)*'Inndata Bygg'!K123</f>
        <v>0</v>
      </c>
      <c r="S120" s="493">
        <f>N120*'Inndata Bygg'!K123</f>
        <v>0</v>
      </c>
      <c r="T120" s="494">
        <f>'Inndata Bygg'!G123*'Inndata Bygg'!K123*Transport_utslipp_til_avfallshånderting_per_kg</f>
        <v>0</v>
      </c>
      <c r="U120" s="330">
        <f>IF('Inndata Bygg'!E123 = 0, 0, 1.833*'Inndata Bygg'!X123*'Inndata Bygg'!K123*('Inndata Bygg'!G123*('Inndata Bygg'!L123*0.5+'Inndata Bygg'!M123*0.8) + (12/44)*('Inndata Bygg'!O123*'Inndata Bygg'!Q123+'Inndata Bygg'!S123*'Inndata Bygg'!U123)))</f>
        <v>0</v>
      </c>
      <c r="V120" s="335" cm="1">
        <f t="array" ref="V120">CalculateBiogenicCarbonUptake('ZERO-B Beregning'!$D$17,'Inndata Bygg'!H123,'Inndata Bygg'!G123,'Inndata Bygg'!L123,F120,AB120,AC120,AD120)</f>
        <v>0</v>
      </c>
      <c r="W120" s="576" cm="1">
        <f t="array" ref="W120">CalculateCementCarbonUptake('ZERO-B Beregning'!$D$17,'Inndata Bygg'!H123,'Inndata Bygg'!G123,'Inndata Bygg'!N123)</f>
        <v>0</v>
      </c>
      <c r="X120" s="331" cm="1">
        <f t="array" ref="X120">IF(SUM(F120:J120,L120)=0, 0, SUM(F120:J120,L120)*(1+'Inndata Bygg'!K123)*IF('Inndata Bygg'!H123&gt;50, 0, _xlfn.XLOOKUP('Inndata Bygg'!H123, År_etter_ferdigstillelse, IF(VALUE(LEFT('Inndata Bygg'!B123, 2))= 49, f_tid_x_f_tek_d_0_037_kumulativ, f_tid_x_f_tek_d_0_01_kumulativ))))</f>
        <v>0</v>
      </c>
      <c r="Y120" s="330">
        <f>IF(X120=0, 0, SUM(K120,M120)*(1+'Inndata Bygg'!K123)*IF('Inndata Bygg'!H123&gt;50, 0, _xlfn.XLOOKUP('Inndata Bygg'!H123, År_etter_ferdigstillelse, f_tid_x_f_tek_d_0_01_kumulativ)))</f>
        <v>0</v>
      </c>
      <c r="Z120" s="336">
        <f>IF(X120=0, 0, SUM(N120:P120)*(1+'Inndata Bygg'!K123)*IF('Inndata Bygg'!H123&gt;50, 0, _xlfn.XLOOKUP('Inndata Bygg'!H123, År_etter_ferdigstillelse, f_tid_x_f_tek_d_0_01_kumulativ)))</f>
        <v>0</v>
      </c>
      <c r="AA120" s="336">
        <f>IF(X120=0, 0, ('Inndata Bygg'!G123+'Inndata Bygg'!O123+'Inndata Bygg'!S123)*(1+'Inndata Bygg'!K123)*Transport_utslipp_til_avfallshånderting_per_kg*IF('Inndata Bygg'!H123&gt;50, 0, _xlfn.XLOOKUP('Inndata Bygg'!H123, År_etter_ferdigstillelse, f_tid_x_f_tek_d_0_01_kumulativ)))</f>
        <v>0</v>
      </c>
      <c r="AB120" s="580" cm="1">
        <f t="array" ref="AB120">CalculateEmissionsFromIncinerationOfWaste('ZERO-B Beregning'!$D$17,'Inndata Bygg'!H123,'Inndata Bygg'!G123,'Inndata Bygg'!X123,'Inndata Bygg'!L123,'Inndata Bygg'!M123,'Inndata Bygg'!B123)</f>
        <v>0</v>
      </c>
      <c r="AC120" s="335">
        <f>IF(('Inndata Bygg'!G123+'Inndata Bygg'!O123+'Inndata Bygg'!S123) = 0, 0,('Inndata Bygg'!G123+'Inndata Bygg'!O123+'Inndata Bygg'!S123)*(('Inndata Bygg'!X123+'Inndata Bygg'!Y123+'Inndata Bygg'!AA123)*Transport_utslipp_til_avfallshånderting_per_kg+('Inndata Bygg'!Z123*'ZERO-B Beregning'!D222/1000)*IF('ZERO-B Beregning'!F223=0,'ZERO-B Beregning'!D223,'ZERO-B Beregning'!F223))*_xlfn.XLOOKUP(51, År_etter_ferdigstillelse, f_tid_x_f_tek_d_0_01))</f>
        <v>0</v>
      </c>
      <c r="AD120" s="577">
        <f>IF(('Inndata Bygg'!G123+'Inndata Bygg'!O123+'Inndata Bygg'!S123) = 0, 0,1.833*('Inndata Bygg'!G123*('Inndata Bygg'!L123*0.5+'Inndata Bygg'!M123*0.8)+'Inndata Bygg'!O123*'Inndata Bygg'!Q123+'Inndata Bygg'!S123*'Inndata Bygg'!U123)*AG120*_xlfn.XLOOKUP(51, År_etter_ferdigstillelse,  f_tid_x_f_tek_d_0_01))</f>
        <v>0</v>
      </c>
      <c r="AE120" s="575" cm="1">
        <f t="array" ref="AE120">CalculateEmissionsReductionFromReuse('ZERO-B Beregning'!$D$17,'Inndata Bygg'!H123,'Inndata Bygg'!G123,'Inndata Bygg'!Z123,'Inndata Bygg'!X123,'Inndata Bygg'!Y123,F120,'Inndata Bygg'!B123)</f>
        <v>0</v>
      </c>
      <c r="AF120" s="333" cm="1">
        <f t="array" ref="AF120">CalculateEmissionReductionFromRecycling('ZERO-B Beregning'!$D$17,'Inndata Bygg'!H123,'Inndata Bygg'!G123,'Inndata Bygg'!AA123,'Inndata Bygg'!X123,'Inndata Bygg'!Y123,F120,'Inndata Bygg'!B123)</f>
        <v>0</v>
      </c>
      <c r="AG120" s="572">
        <f>IF(('Inndata Bygg'!G123+'Inndata Bygg'!O123+'Inndata Bygg'!S123) = 0, 0,'Inndata Bygg'!X123*Faktorer!$Z$58)</f>
        <v>0</v>
      </c>
      <c r="AH120" s="573">
        <f>IF(('Inndata Bygg'!G123+'Inndata Bygg'!O123+'Inndata Bygg'!S123) = 0, 0,'Inndata Bygg'!Z123+('Inndata Bygg'!X123+'Inndata Bygg'!Y123)*(1-Faktorer!$Z$58)*0.5)</f>
        <v>0</v>
      </c>
      <c r="AI120" s="574">
        <f>IF(('Inndata Bygg'!G123+'Inndata Bygg'!O123+'Inndata Bygg'!S123) = 0, 0,'Inndata Bygg'!AA123+('Inndata Bygg'!X123+'Inndata Bygg'!Y123)*(1-Faktorer!$Z$58)*0.5)</f>
        <v>0</v>
      </c>
      <c r="AJ120" s="634"/>
      <c r="AK120" s="90">
        <f t="shared" si="3"/>
        <v>0</v>
      </c>
      <c r="AL120" s="91">
        <f>'Resultater detaljert Bygg'!N120</f>
        <v>0</v>
      </c>
      <c r="AM120" s="91" t="str">
        <f>IF(F120=0,"",('Inndata Bygg'!E123+'Inndata Bygg'!F123)*ROUNDDOWN('Inndata Bygg'!I123,0)*(1+'Inndata Bygg'!K123))</f>
        <v/>
      </c>
    </row>
    <row r="121" spans="2:39">
      <c r="B121" s="339">
        <f>'Inndata Bygg'!B124</f>
        <v>0</v>
      </c>
      <c r="C121" s="340">
        <f>'Inndata Bygg'!C124</f>
        <v>0</v>
      </c>
      <c r="D121" s="341">
        <f>'Inndata Bygg'!D124</f>
        <v>0</v>
      </c>
      <c r="E121" s="421" cm="1">
        <f t="array" ref="E121">SUM(IFERROR(F121:AD121,0))</f>
        <v>0</v>
      </c>
      <c r="F121" s="330">
        <f>'Inndata Bygg'!E124</f>
        <v>0</v>
      </c>
      <c r="G121" s="330">
        <f>IF('Inndata Bygg'!AB124="Ja", -0.8*'Resultater detaljert Bygg'!F121, 0)</f>
        <v>0</v>
      </c>
      <c r="H121" s="330">
        <f>IF('Inndata Bygg'!AC124="Ja", -0.4*'Resultater detaljert Bygg'!$F121, 0)</f>
        <v>0</v>
      </c>
      <c r="I121" s="330">
        <f>IF('Inndata Bygg'!AD124="Ja", -1*'Resultater detaljert Bygg'!$F121, 0)</f>
        <v>0</v>
      </c>
      <c r="J121" s="330">
        <f>'Inndata Bygg'!O124*'Inndata Bygg'!P124</f>
        <v>0</v>
      </c>
      <c r="K121" s="330">
        <f>MAX(-0.75*(SUM('Resultater detaljert Bygg'!F121:J121)),-'Inndata Bygg'!O124*'Inndata Bygg'!Q124)</f>
        <v>0</v>
      </c>
      <c r="L121" s="330">
        <f>'Inndata Bygg'!S124*'Inndata Bygg'!T124</f>
        <v>0</v>
      </c>
      <c r="M121" s="330">
        <f>MAX(-0.75*(SUM('Resultater detaljert Bygg'!F121:I121,L121)),-'Inndata Bygg'!S124*'Inndata Bygg'!U124)</f>
        <v>0</v>
      </c>
      <c r="N121" s="331">
        <f>'Inndata Bygg'!F124</f>
        <v>0</v>
      </c>
      <c r="O121" s="330">
        <f>'Inndata Bygg'!O124*'Inndata Bygg'!R124</f>
        <v>0</v>
      </c>
      <c r="P121" s="332">
        <f>'Inndata Bygg'!S124*'Inndata Bygg'!V124</f>
        <v>0</v>
      </c>
      <c r="Q121" s="493">
        <f>SUM(F121:J121,L121)*'Inndata Bygg'!K124</f>
        <v>0</v>
      </c>
      <c r="R121" s="333">
        <f>(K121+M121)*'Inndata Bygg'!K124</f>
        <v>0</v>
      </c>
      <c r="S121" s="493">
        <f>N121*'Inndata Bygg'!K124</f>
        <v>0</v>
      </c>
      <c r="T121" s="494">
        <f>'Inndata Bygg'!G124*'Inndata Bygg'!K124*Transport_utslipp_til_avfallshånderting_per_kg</f>
        <v>0</v>
      </c>
      <c r="U121" s="330">
        <f>IF('Inndata Bygg'!E124 = 0, 0, 1.833*'Inndata Bygg'!X124*'Inndata Bygg'!K124*('Inndata Bygg'!G124*('Inndata Bygg'!L124*0.5+'Inndata Bygg'!M124*0.8) + (12/44)*('Inndata Bygg'!O124*'Inndata Bygg'!Q124+'Inndata Bygg'!S124*'Inndata Bygg'!U124)))</f>
        <v>0</v>
      </c>
      <c r="V121" s="335" cm="1">
        <f t="array" ref="V121">CalculateBiogenicCarbonUptake('ZERO-B Beregning'!$D$17,'Inndata Bygg'!H124,'Inndata Bygg'!G124,'Inndata Bygg'!L124,F121,AB121,AC121,AD121)</f>
        <v>0</v>
      </c>
      <c r="W121" s="576" cm="1">
        <f t="array" ref="W121">CalculateCementCarbonUptake('ZERO-B Beregning'!$D$17,'Inndata Bygg'!H124,'Inndata Bygg'!G124,'Inndata Bygg'!N124)</f>
        <v>0</v>
      </c>
      <c r="X121" s="331" cm="1">
        <f t="array" ref="X121">IF(SUM(F121:J121,L121)=0, 0, SUM(F121:J121,L121)*(1+'Inndata Bygg'!K124)*IF('Inndata Bygg'!H124&gt;50, 0, _xlfn.XLOOKUP('Inndata Bygg'!H124, År_etter_ferdigstillelse, IF(VALUE(LEFT('Inndata Bygg'!B124, 2))= 49, f_tid_x_f_tek_d_0_037_kumulativ, f_tid_x_f_tek_d_0_01_kumulativ))))</f>
        <v>0</v>
      </c>
      <c r="Y121" s="330">
        <f>IF(X121=0, 0, SUM(K121,M121)*(1+'Inndata Bygg'!K124)*IF('Inndata Bygg'!H124&gt;50, 0, _xlfn.XLOOKUP('Inndata Bygg'!H124, År_etter_ferdigstillelse, f_tid_x_f_tek_d_0_01_kumulativ)))</f>
        <v>0</v>
      </c>
      <c r="Z121" s="336">
        <f>IF(X121=0, 0, SUM(N121:P121)*(1+'Inndata Bygg'!K124)*IF('Inndata Bygg'!H124&gt;50, 0, _xlfn.XLOOKUP('Inndata Bygg'!H124, År_etter_ferdigstillelse, f_tid_x_f_tek_d_0_01_kumulativ)))</f>
        <v>0</v>
      </c>
      <c r="AA121" s="336">
        <f>IF(X121=0, 0, ('Inndata Bygg'!G124+'Inndata Bygg'!O124+'Inndata Bygg'!S124)*(1+'Inndata Bygg'!K124)*Transport_utslipp_til_avfallshånderting_per_kg*IF('Inndata Bygg'!H124&gt;50, 0, _xlfn.XLOOKUP('Inndata Bygg'!H124, År_etter_ferdigstillelse, f_tid_x_f_tek_d_0_01_kumulativ)))</f>
        <v>0</v>
      </c>
      <c r="AB121" s="580" cm="1">
        <f t="array" ref="AB121">CalculateEmissionsFromIncinerationOfWaste('ZERO-B Beregning'!$D$17,'Inndata Bygg'!H124,'Inndata Bygg'!G124,'Inndata Bygg'!X124,'Inndata Bygg'!L124,'Inndata Bygg'!M124,'Inndata Bygg'!B124)</f>
        <v>0</v>
      </c>
      <c r="AC121" s="335">
        <f>IF(('Inndata Bygg'!G124+'Inndata Bygg'!O124+'Inndata Bygg'!S124) = 0, 0,('Inndata Bygg'!G124+'Inndata Bygg'!O124+'Inndata Bygg'!S124)*(('Inndata Bygg'!X124+'Inndata Bygg'!Y124+'Inndata Bygg'!AA124)*Transport_utslipp_til_avfallshånderting_per_kg+('Inndata Bygg'!Z124*'ZERO-B Beregning'!D223/1000)*IF('ZERO-B Beregning'!F224=0,'ZERO-B Beregning'!D224,'ZERO-B Beregning'!F224))*_xlfn.XLOOKUP(51, År_etter_ferdigstillelse, f_tid_x_f_tek_d_0_01))</f>
        <v>0</v>
      </c>
      <c r="AD121" s="577">
        <f>IF(('Inndata Bygg'!G124+'Inndata Bygg'!O124+'Inndata Bygg'!S124) = 0, 0,1.833*('Inndata Bygg'!G124*('Inndata Bygg'!L124*0.5+'Inndata Bygg'!M124*0.8)+'Inndata Bygg'!O124*'Inndata Bygg'!Q124+'Inndata Bygg'!S124*'Inndata Bygg'!U124)*AG121*_xlfn.XLOOKUP(51, År_etter_ferdigstillelse,  f_tid_x_f_tek_d_0_01))</f>
        <v>0</v>
      </c>
      <c r="AE121" s="575" cm="1">
        <f t="array" ref="AE121">CalculateEmissionsReductionFromReuse('ZERO-B Beregning'!$D$17,'Inndata Bygg'!H124,'Inndata Bygg'!G124,'Inndata Bygg'!Z124,'Inndata Bygg'!X124,'Inndata Bygg'!Y124,F121,'Inndata Bygg'!B124)</f>
        <v>0</v>
      </c>
      <c r="AF121" s="333" cm="1">
        <f t="array" ref="AF121">CalculateEmissionReductionFromRecycling('ZERO-B Beregning'!$D$17,'Inndata Bygg'!H124,'Inndata Bygg'!G124,'Inndata Bygg'!AA124,'Inndata Bygg'!X124,'Inndata Bygg'!Y124,F121,'Inndata Bygg'!B124)</f>
        <v>0</v>
      </c>
      <c r="AG121" s="572">
        <f>IF(('Inndata Bygg'!G124+'Inndata Bygg'!O124+'Inndata Bygg'!S124) = 0, 0,'Inndata Bygg'!X124*Faktorer!$Z$58)</f>
        <v>0</v>
      </c>
      <c r="AH121" s="573">
        <f>IF(('Inndata Bygg'!G124+'Inndata Bygg'!O124+'Inndata Bygg'!S124) = 0, 0,'Inndata Bygg'!Z124+('Inndata Bygg'!X124+'Inndata Bygg'!Y124)*(1-Faktorer!$Z$58)*0.5)</f>
        <v>0</v>
      </c>
      <c r="AI121" s="574">
        <f>IF(('Inndata Bygg'!G124+'Inndata Bygg'!O124+'Inndata Bygg'!S124) = 0, 0,'Inndata Bygg'!AA124+('Inndata Bygg'!X124+'Inndata Bygg'!Y124)*(1-Faktorer!$Z$58)*0.5)</f>
        <v>0</v>
      </c>
      <c r="AJ121" s="634"/>
      <c r="AK121" s="90">
        <f t="shared" si="3"/>
        <v>0</v>
      </c>
      <c r="AL121" s="91">
        <f>'Resultater detaljert Bygg'!N121</f>
        <v>0</v>
      </c>
      <c r="AM121" s="91" t="str">
        <f>IF(F121=0,"",('Inndata Bygg'!E124+'Inndata Bygg'!F124)*ROUNDDOWN('Inndata Bygg'!I124,0)*(1+'Inndata Bygg'!K124))</f>
        <v/>
      </c>
    </row>
    <row r="122" spans="2:39">
      <c r="B122" s="339">
        <f>'Inndata Bygg'!B125</f>
        <v>0</v>
      </c>
      <c r="C122" s="340">
        <f>'Inndata Bygg'!C125</f>
        <v>0</v>
      </c>
      <c r="D122" s="341">
        <f>'Inndata Bygg'!D125</f>
        <v>0</v>
      </c>
      <c r="E122" s="421" cm="1">
        <f t="array" ref="E122">SUM(IFERROR(F122:AD122,0))</f>
        <v>0</v>
      </c>
      <c r="F122" s="330">
        <f>'Inndata Bygg'!E125</f>
        <v>0</v>
      </c>
      <c r="G122" s="330">
        <f>IF('Inndata Bygg'!AB125="Ja", -0.8*'Resultater detaljert Bygg'!F122, 0)</f>
        <v>0</v>
      </c>
      <c r="H122" s="330">
        <f>IF('Inndata Bygg'!AC125="Ja", -0.4*'Resultater detaljert Bygg'!$F122, 0)</f>
        <v>0</v>
      </c>
      <c r="I122" s="330">
        <f>IF('Inndata Bygg'!AD125="Ja", -1*'Resultater detaljert Bygg'!$F122, 0)</f>
        <v>0</v>
      </c>
      <c r="J122" s="330">
        <f>'Inndata Bygg'!O125*'Inndata Bygg'!P125</f>
        <v>0</v>
      </c>
      <c r="K122" s="330">
        <f>MAX(-0.75*(SUM('Resultater detaljert Bygg'!F122:J122)),-'Inndata Bygg'!O125*'Inndata Bygg'!Q125)</f>
        <v>0</v>
      </c>
      <c r="L122" s="330">
        <f>'Inndata Bygg'!S125*'Inndata Bygg'!T125</f>
        <v>0</v>
      </c>
      <c r="M122" s="330">
        <f>MAX(-0.75*(SUM('Resultater detaljert Bygg'!F122:I122,L122)),-'Inndata Bygg'!S125*'Inndata Bygg'!U125)</f>
        <v>0</v>
      </c>
      <c r="N122" s="331">
        <f>'Inndata Bygg'!F125</f>
        <v>0</v>
      </c>
      <c r="O122" s="330">
        <f>'Inndata Bygg'!O125*'Inndata Bygg'!R125</f>
        <v>0</v>
      </c>
      <c r="P122" s="332">
        <f>'Inndata Bygg'!S125*'Inndata Bygg'!V125</f>
        <v>0</v>
      </c>
      <c r="Q122" s="493">
        <f>SUM(F122:J122,L122)*'Inndata Bygg'!K125</f>
        <v>0</v>
      </c>
      <c r="R122" s="333">
        <f>(K122+M122)*'Inndata Bygg'!K125</f>
        <v>0</v>
      </c>
      <c r="S122" s="493">
        <f>N122*'Inndata Bygg'!K125</f>
        <v>0</v>
      </c>
      <c r="T122" s="494">
        <f>'Inndata Bygg'!G125*'Inndata Bygg'!K125*Transport_utslipp_til_avfallshånderting_per_kg</f>
        <v>0</v>
      </c>
      <c r="U122" s="330">
        <f>IF('Inndata Bygg'!E125 = 0, 0, 1.833*'Inndata Bygg'!X125*'Inndata Bygg'!K125*('Inndata Bygg'!G125*('Inndata Bygg'!L125*0.5+'Inndata Bygg'!M125*0.8) + (12/44)*('Inndata Bygg'!O125*'Inndata Bygg'!Q125+'Inndata Bygg'!S125*'Inndata Bygg'!U125)))</f>
        <v>0</v>
      </c>
      <c r="V122" s="335" cm="1">
        <f t="array" ref="V122">CalculateBiogenicCarbonUptake('ZERO-B Beregning'!$D$17,'Inndata Bygg'!H125,'Inndata Bygg'!G125,'Inndata Bygg'!L125,F122,AB122,AC122,AD122)</f>
        <v>0</v>
      </c>
      <c r="W122" s="576" cm="1">
        <f t="array" ref="W122">CalculateCementCarbonUptake('ZERO-B Beregning'!$D$17,'Inndata Bygg'!H125,'Inndata Bygg'!G125,'Inndata Bygg'!N125)</f>
        <v>0</v>
      </c>
      <c r="X122" s="331" cm="1">
        <f t="array" ref="X122">IF(SUM(F122:J122,L122)=0, 0, SUM(F122:J122,L122)*(1+'Inndata Bygg'!K125)*IF('Inndata Bygg'!H125&gt;50, 0, _xlfn.XLOOKUP('Inndata Bygg'!H125, År_etter_ferdigstillelse, IF(VALUE(LEFT('Inndata Bygg'!B125, 2))= 49, f_tid_x_f_tek_d_0_037_kumulativ, f_tid_x_f_tek_d_0_01_kumulativ))))</f>
        <v>0</v>
      </c>
      <c r="Y122" s="330">
        <f>IF(X122=0, 0, SUM(K122,M122)*(1+'Inndata Bygg'!K125)*IF('Inndata Bygg'!H125&gt;50, 0, _xlfn.XLOOKUP('Inndata Bygg'!H125, År_etter_ferdigstillelse, f_tid_x_f_tek_d_0_01_kumulativ)))</f>
        <v>0</v>
      </c>
      <c r="Z122" s="336">
        <f>IF(X122=0, 0, SUM(N122:P122)*(1+'Inndata Bygg'!K125)*IF('Inndata Bygg'!H125&gt;50, 0, _xlfn.XLOOKUP('Inndata Bygg'!H125, År_etter_ferdigstillelse, f_tid_x_f_tek_d_0_01_kumulativ)))</f>
        <v>0</v>
      </c>
      <c r="AA122" s="336">
        <f>IF(X122=0, 0, ('Inndata Bygg'!G125+'Inndata Bygg'!O125+'Inndata Bygg'!S125)*(1+'Inndata Bygg'!K125)*Transport_utslipp_til_avfallshånderting_per_kg*IF('Inndata Bygg'!H125&gt;50, 0, _xlfn.XLOOKUP('Inndata Bygg'!H125, År_etter_ferdigstillelse, f_tid_x_f_tek_d_0_01_kumulativ)))</f>
        <v>0</v>
      </c>
      <c r="AB122" s="580" cm="1">
        <f t="array" ref="AB122">CalculateEmissionsFromIncinerationOfWaste('ZERO-B Beregning'!$D$17,'Inndata Bygg'!H125,'Inndata Bygg'!G125,'Inndata Bygg'!X125,'Inndata Bygg'!L125,'Inndata Bygg'!M125,'Inndata Bygg'!B125)</f>
        <v>0</v>
      </c>
      <c r="AC122" s="335">
        <f>IF(('Inndata Bygg'!G125+'Inndata Bygg'!O125+'Inndata Bygg'!S125) = 0, 0,('Inndata Bygg'!G125+'Inndata Bygg'!O125+'Inndata Bygg'!S125)*(('Inndata Bygg'!X125+'Inndata Bygg'!Y125+'Inndata Bygg'!AA125)*Transport_utslipp_til_avfallshånderting_per_kg+('Inndata Bygg'!Z125*'ZERO-B Beregning'!D224/1000)*IF('ZERO-B Beregning'!F225=0,'ZERO-B Beregning'!D225,'ZERO-B Beregning'!F225))*_xlfn.XLOOKUP(51, År_etter_ferdigstillelse, f_tid_x_f_tek_d_0_01))</f>
        <v>0</v>
      </c>
      <c r="AD122" s="577">
        <f>IF(('Inndata Bygg'!G125+'Inndata Bygg'!O125+'Inndata Bygg'!S125) = 0, 0,1.833*('Inndata Bygg'!G125*('Inndata Bygg'!L125*0.5+'Inndata Bygg'!M125*0.8)+'Inndata Bygg'!O125*'Inndata Bygg'!Q125+'Inndata Bygg'!S125*'Inndata Bygg'!U125)*AG122*_xlfn.XLOOKUP(51, År_etter_ferdigstillelse,  f_tid_x_f_tek_d_0_01))</f>
        <v>0</v>
      </c>
      <c r="AE122" s="575" cm="1">
        <f t="array" ref="AE122">CalculateEmissionsReductionFromReuse('ZERO-B Beregning'!$D$17,'Inndata Bygg'!H125,'Inndata Bygg'!G125,'Inndata Bygg'!Z125,'Inndata Bygg'!X125,'Inndata Bygg'!Y125,F122,'Inndata Bygg'!B125)</f>
        <v>0</v>
      </c>
      <c r="AF122" s="333" cm="1">
        <f t="array" ref="AF122">CalculateEmissionReductionFromRecycling('ZERO-B Beregning'!$D$17,'Inndata Bygg'!H125,'Inndata Bygg'!G125,'Inndata Bygg'!AA125,'Inndata Bygg'!X125,'Inndata Bygg'!Y125,F122,'Inndata Bygg'!B125)</f>
        <v>0</v>
      </c>
      <c r="AG122" s="572">
        <f>IF(('Inndata Bygg'!G125+'Inndata Bygg'!O125+'Inndata Bygg'!S125) = 0, 0,'Inndata Bygg'!X125*Faktorer!$Z$58)</f>
        <v>0</v>
      </c>
      <c r="AH122" s="573">
        <f>IF(('Inndata Bygg'!G125+'Inndata Bygg'!O125+'Inndata Bygg'!S125) = 0, 0,'Inndata Bygg'!Z125+('Inndata Bygg'!X125+'Inndata Bygg'!Y125)*(1-Faktorer!$Z$58)*0.5)</f>
        <v>0</v>
      </c>
      <c r="AI122" s="574">
        <f>IF(('Inndata Bygg'!G125+'Inndata Bygg'!O125+'Inndata Bygg'!S125) = 0, 0,'Inndata Bygg'!AA125+('Inndata Bygg'!X125+'Inndata Bygg'!Y125)*(1-Faktorer!$Z$58)*0.5)</f>
        <v>0</v>
      </c>
      <c r="AJ122" s="634"/>
      <c r="AK122" s="90">
        <f t="shared" si="3"/>
        <v>0</v>
      </c>
      <c r="AL122" s="91">
        <f>'Resultater detaljert Bygg'!N122</f>
        <v>0</v>
      </c>
      <c r="AM122" s="91" t="str">
        <f>IF(F122=0,"",('Inndata Bygg'!E125+'Inndata Bygg'!F125)*ROUNDDOWN('Inndata Bygg'!I125,0)*(1+'Inndata Bygg'!K125))</f>
        <v/>
      </c>
    </row>
    <row r="123" spans="2:39">
      <c r="B123" s="339">
        <f>'Inndata Bygg'!B126</f>
        <v>0</v>
      </c>
      <c r="C123" s="340">
        <f>'Inndata Bygg'!C126</f>
        <v>0</v>
      </c>
      <c r="D123" s="341">
        <f>'Inndata Bygg'!D126</f>
        <v>0</v>
      </c>
      <c r="E123" s="421" cm="1">
        <f t="array" ref="E123">SUM(IFERROR(F123:AD123,0))</f>
        <v>0</v>
      </c>
      <c r="F123" s="330">
        <f>'Inndata Bygg'!E126</f>
        <v>0</v>
      </c>
      <c r="G123" s="330">
        <f>IF('Inndata Bygg'!AB126="Ja", -0.8*'Resultater detaljert Bygg'!F123, 0)</f>
        <v>0</v>
      </c>
      <c r="H123" s="330">
        <f>IF('Inndata Bygg'!AC126="Ja", -0.4*'Resultater detaljert Bygg'!$F123, 0)</f>
        <v>0</v>
      </c>
      <c r="I123" s="330">
        <f>IF('Inndata Bygg'!AD126="Ja", -1*'Resultater detaljert Bygg'!$F123, 0)</f>
        <v>0</v>
      </c>
      <c r="J123" s="330">
        <f>'Inndata Bygg'!O126*'Inndata Bygg'!P126</f>
        <v>0</v>
      </c>
      <c r="K123" s="330">
        <f>MAX(-0.75*(SUM('Resultater detaljert Bygg'!F123:J123)),-'Inndata Bygg'!O126*'Inndata Bygg'!Q126)</f>
        <v>0</v>
      </c>
      <c r="L123" s="330">
        <f>'Inndata Bygg'!S126*'Inndata Bygg'!T126</f>
        <v>0</v>
      </c>
      <c r="M123" s="330">
        <f>MAX(-0.75*(SUM('Resultater detaljert Bygg'!F123:I123,L123)),-'Inndata Bygg'!S126*'Inndata Bygg'!U126)</f>
        <v>0</v>
      </c>
      <c r="N123" s="331">
        <f>'Inndata Bygg'!F126</f>
        <v>0</v>
      </c>
      <c r="O123" s="330">
        <f>'Inndata Bygg'!O126*'Inndata Bygg'!R126</f>
        <v>0</v>
      </c>
      <c r="P123" s="332">
        <f>'Inndata Bygg'!S126*'Inndata Bygg'!V126</f>
        <v>0</v>
      </c>
      <c r="Q123" s="493">
        <f>SUM(F123:J123,L123)*'Inndata Bygg'!K126</f>
        <v>0</v>
      </c>
      <c r="R123" s="333">
        <f>(K123+M123)*'Inndata Bygg'!K126</f>
        <v>0</v>
      </c>
      <c r="S123" s="493">
        <f>N123*'Inndata Bygg'!K126</f>
        <v>0</v>
      </c>
      <c r="T123" s="494">
        <f>'Inndata Bygg'!G126*'Inndata Bygg'!K126*Transport_utslipp_til_avfallshånderting_per_kg</f>
        <v>0</v>
      </c>
      <c r="U123" s="330">
        <f>IF('Inndata Bygg'!E126 = 0, 0, 1.833*'Inndata Bygg'!X126*'Inndata Bygg'!K126*('Inndata Bygg'!G126*('Inndata Bygg'!L126*0.5+'Inndata Bygg'!M126*0.8) + (12/44)*('Inndata Bygg'!O126*'Inndata Bygg'!Q126+'Inndata Bygg'!S126*'Inndata Bygg'!U126)))</f>
        <v>0</v>
      </c>
      <c r="V123" s="335" cm="1">
        <f t="array" ref="V123">CalculateBiogenicCarbonUptake('ZERO-B Beregning'!$D$17,'Inndata Bygg'!H126,'Inndata Bygg'!G126,'Inndata Bygg'!L126,F123,AB123,AC123,AD123)</f>
        <v>0</v>
      </c>
      <c r="W123" s="576" cm="1">
        <f t="array" ref="W123">CalculateCementCarbonUptake('ZERO-B Beregning'!$D$17,'Inndata Bygg'!H126,'Inndata Bygg'!G126,'Inndata Bygg'!N126)</f>
        <v>0</v>
      </c>
      <c r="X123" s="331" cm="1">
        <f t="array" ref="X123">IF(SUM(F123:J123,L123)=0, 0, SUM(F123:J123,L123)*(1+'Inndata Bygg'!K126)*IF('Inndata Bygg'!H126&gt;50, 0, _xlfn.XLOOKUP('Inndata Bygg'!H126, År_etter_ferdigstillelse, IF(VALUE(LEFT('Inndata Bygg'!B126, 2))= 49, f_tid_x_f_tek_d_0_037_kumulativ, f_tid_x_f_tek_d_0_01_kumulativ))))</f>
        <v>0</v>
      </c>
      <c r="Y123" s="330">
        <f>IF(X123=0, 0, SUM(K123,M123)*(1+'Inndata Bygg'!K126)*IF('Inndata Bygg'!H126&gt;50, 0, _xlfn.XLOOKUP('Inndata Bygg'!H126, År_etter_ferdigstillelse, f_tid_x_f_tek_d_0_01_kumulativ)))</f>
        <v>0</v>
      </c>
      <c r="Z123" s="336">
        <f>IF(X123=0, 0, SUM(N123:P123)*(1+'Inndata Bygg'!K126)*IF('Inndata Bygg'!H126&gt;50, 0, _xlfn.XLOOKUP('Inndata Bygg'!H126, År_etter_ferdigstillelse, f_tid_x_f_tek_d_0_01_kumulativ)))</f>
        <v>0</v>
      </c>
      <c r="AA123" s="336">
        <f>IF(X123=0, 0, ('Inndata Bygg'!G126+'Inndata Bygg'!O126+'Inndata Bygg'!S126)*(1+'Inndata Bygg'!K126)*Transport_utslipp_til_avfallshånderting_per_kg*IF('Inndata Bygg'!H126&gt;50, 0, _xlfn.XLOOKUP('Inndata Bygg'!H126, År_etter_ferdigstillelse, f_tid_x_f_tek_d_0_01_kumulativ)))</f>
        <v>0</v>
      </c>
      <c r="AB123" s="580" cm="1">
        <f t="array" ref="AB123">CalculateEmissionsFromIncinerationOfWaste('ZERO-B Beregning'!$D$17,'Inndata Bygg'!H126,'Inndata Bygg'!G126,'Inndata Bygg'!X126,'Inndata Bygg'!L126,'Inndata Bygg'!M126,'Inndata Bygg'!B126)</f>
        <v>0</v>
      </c>
      <c r="AC123" s="335">
        <f>IF(('Inndata Bygg'!G126+'Inndata Bygg'!O126+'Inndata Bygg'!S126) = 0, 0,('Inndata Bygg'!G126+'Inndata Bygg'!O126+'Inndata Bygg'!S126)*(('Inndata Bygg'!X126+'Inndata Bygg'!Y126+'Inndata Bygg'!AA126)*Transport_utslipp_til_avfallshånderting_per_kg+('Inndata Bygg'!Z126*'ZERO-B Beregning'!D225/1000)*IF('ZERO-B Beregning'!F226=0,'ZERO-B Beregning'!D226,'ZERO-B Beregning'!F226))*_xlfn.XLOOKUP(51, År_etter_ferdigstillelse, f_tid_x_f_tek_d_0_01))</f>
        <v>0</v>
      </c>
      <c r="AD123" s="577">
        <f>IF(('Inndata Bygg'!G126+'Inndata Bygg'!O126+'Inndata Bygg'!S126) = 0, 0,1.833*('Inndata Bygg'!G126*('Inndata Bygg'!L126*0.5+'Inndata Bygg'!M126*0.8)+'Inndata Bygg'!O126*'Inndata Bygg'!Q126+'Inndata Bygg'!S126*'Inndata Bygg'!U126)*AG123*_xlfn.XLOOKUP(51, År_etter_ferdigstillelse,  f_tid_x_f_tek_d_0_01))</f>
        <v>0</v>
      </c>
      <c r="AE123" s="575" cm="1">
        <f t="array" ref="AE123">CalculateEmissionsReductionFromReuse('ZERO-B Beregning'!$D$17,'Inndata Bygg'!H126,'Inndata Bygg'!G126,'Inndata Bygg'!Z126,'Inndata Bygg'!X126,'Inndata Bygg'!Y126,F123,'Inndata Bygg'!B126)</f>
        <v>0</v>
      </c>
      <c r="AF123" s="333" cm="1">
        <f t="array" ref="AF123">CalculateEmissionReductionFromRecycling('ZERO-B Beregning'!$D$17,'Inndata Bygg'!H126,'Inndata Bygg'!G126,'Inndata Bygg'!AA126,'Inndata Bygg'!X126,'Inndata Bygg'!Y126,F123,'Inndata Bygg'!B126)</f>
        <v>0</v>
      </c>
      <c r="AG123" s="572">
        <f>IF(('Inndata Bygg'!G126+'Inndata Bygg'!O126+'Inndata Bygg'!S126) = 0, 0,'Inndata Bygg'!X126*Faktorer!$Z$58)</f>
        <v>0</v>
      </c>
      <c r="AH123" s="573">
        <f>IF(('Inndata Bygg'!G126+'Inndata Bygg'!O126+'Inndata Bygg'!S126) = 0, 0,'Inndata Bygg'!Z126+('Inndata Bygg'!X126+'Inndata Bygg'!Y126)*(1-Faktorer!$Z$58)*0.5)</f>
        <v>0</v>
      </c>
      <c r="AI123" s="574">
        <f>IF(('Inndata Bygg'!G126+'Inndata Bygg'!O126+'Inndata Bygg'!S126) = 0, 0,'Inndata Bygg'!AA126+('Inndata Bygg'!X126+'Inndata Bygg'!Y126)*(1-Faktorer!$Z$58)*0.5)</f>
        <v>0</v>
      </c>
      <c r="AJ123" s="634"/>
      <c r="AK123" s="90">
        <f t="shared" si="3"/>
        <v>0</v>
      </c>
      <c r="AL123" s="91">
        <f>'Resultater detaljert Bygg'!N123</f>
        <v>0</v>
      </c>
      <c r="AM123" s="91" t="str">
        <f>IF(F123=0,"",('Inndata Bygg'!E126+'Inndata Bygg'!F126)*ROUNDDOWN('Inndata Bygg'!I126,0)*(1+'Inndata Bygg'!K126))</f>
        <v/>
      </c>
    </row>
    <row r="124" spans="2:39">
      <c r="B124" s="339">
        <f>'Inndata Bygg'!B127</f>
        <v>0</v>
      </c>
      <c r="C124" s="340">
        <f>'Inndata Bygg'!C127</f>
        <v>0</v>
      </c>
      <c r="D124" s="341">
        <f>'Inndata Bygg'!D127</f>
        <v>0</v>
      </c>
      <c r="E124" s="421" cm="1">
        <f t="array" ref="E124">SUM(IFERROR(F124:AD124,0))</f>
        <v>0</v>
      </c>
      <c r="F124" s="330">
        <f>'Inndata Bygg'!E127</f>
        <v>0</v>
      </c>
      <c r="G124" s="330">
        <f>IF('Inndata Bygg'!AB127="Ja", -0.8*'Resultater detaljert Bygg'!F124, 0)</f>
        <v>0</v>
      </c>
      <c r="H124" s="330">
        <f>IF('Inndata Bygg'!AC127="Ja", -0.4*'Resultater detaljert Bygg'!$F124, 0)</f>
        <v>0</v>
      </c>
      <c r="I124" s="330">
        <f>IF('Inndata Bygg'!AD127="Ja", -1*'Resultater detaljert Bygg'!$F124, 0)</f>
        <v>0</v>
      </c>
      <c r="J124" s="330">
        <f>'Inndata Bygg'!O127*'Inndata Bygg'!P127</f>
        <v>0</v>
      </c>
      <c r="K124" s="330">
        <f>MAX(-0.75*(SUM('Resultater detaljert Bygg'!F124:J124)),-'Inndata Bygg'!O127*'Inndata Bygg'!Q127)</f>
        <v>0</v>
      </c>
      <c r="L124" s="330">
        <f>'Inndata Bygg'!S127*'Inndata Bygg'!T127</f>
        <v>0</v>
      </c>
      <c r="M124" s="330">
        <f>MAX(-0.75*(SUM('Resultater detaljert Bygg'!F124:I124,L124)),-'Inndata Bygg'!S127*'Inndata Bygg'!U127)</f>
        <v>0</v>
      </c>
      <c r="N124" s="331">
        <f>'Inndata Bygg'!F127</f>
        <v>0</v>
      </c>
      <c r="O124" s="330">
        <f>'Inndata Bygg'!O127*'Inndata Bygg'!R127</f>
        <v>0</v>
      </c>
      <c r="P124" s="332">
        <f>'Inndata Bygg'!S127*'Inndata Bygg'!V127</f>
        <v>0</v>
      </c>
      <c r="Q124" s="493">
        <f>SUM(F124:J124,L124)*'Inndata Bygg'!K127</f>
        <v>0</v>
      </c>
      <c r="R124" s="333">
        <f>(K124+M124)*'Inndata Bygg'!K127</f>
        <v>0</v>
      </c>
      <c r="S124" s="493">
        <f>N124*'Inndata Bygg'!K127</f>
        <v>0</v>
      </c>
      <c r="T124" s="494">
        <f>'Inndata Bygg'!G127*'Inndata Bygg'!K127*Transport_utslipp_til_avfallshånderting_per_kg</f>
        <v>0</v>
      </c>
      <c r="U124" s="330">
        <f>IF('Inndata Bygg'!E127 = 0, 0, 1.833*'Inndata Bygg'!X127*'Inndata Bygg'!K127*('Inndata Bygg'!G127*('Inndata Bygg'!L127*0.5+'Inndata Bygg'!M127*0.8) + (12/44)*('Inndata Bygg'!O127*'Inndata Bygg'!Q127+'Inndata Bygg'!S127*'Inndata Bygg'!U127)))</f>
        <v>0</v>
      </c>
      <c r="V124" s="335" cm="1">
        <f t="array" ref="V124">CalculateBiogenicCarbonUptake('ZERO-B Beregning'!$D$17,'Inndata Bygg'!H127,'Inndata Bygg'!G127,'Inndata Bygg'!L127,F124,AB124,AC124,AD124)</f>
        <v>0</v>
      </c>
      <c r="W124" s="576" cm="1">
        <f t="array" ref="W124">CalculateCementCarbonUptake('ZERO-B Beregning'!$D$17,'Inndata Bygg'!H127,'Inndata Bygg'!G127,'Inndata Bygg'!N127)</f>
        <v>0</v>
      </c>
      <c r="X124" s="331" cm="1">
        <f t="array" ref="X124">IF(SUM(F124:J124,L124)=0, 0, SUM(F124:J124,L124)*(1+'Inndata Bygg'!K127)*IF('Inndata Bygg'!H127&gt;50, 0, _xlfn.XLOOKUP('Inndata Bygg'!H127, År_etter_ferdigstillelse, IF(VALUE(LEFT('Inndata Bygg'!B127, 2))= 49, f_tid_x_f_tek_d_0_037_kumulativ, f_tid_x_f_tek_d_0_01_kumulativ))))</f>
        <v>0</v>
      </c>
      <c r="Y124" s="330">
        <f>IF(X124=0, 0, SUM(K124,M124)*(1+'Inndata Bygg'!K127)*IF('Inndata Bygg'!H127&gt;50, 0, _xlfn.XLOOKUP('Inndata Bygg'!H127, År_etter_ferdigstillelse, f_tid_x_f_tek_d_0_01_kumulativ)))</f>
        <v>0</v>
      </c>
      <c r="Z124" s="336">
        <f>IF(X124=0, 0, SUM(N124:P124)*(1+'Inndata Bygg'!K127)*IF('Inndata Bygg'!H127&gt;50, 0, _xlfn.XLOOKUP('Inndata Bygg'!H127, År_etter_ferdigstillelse, f_tid_x_f_tek_d_0_01_kumulativ)))</f>
        <v>0</v>
      </c>
      <c r="AA124" s="336">
        <f>IF(X124=0, 0, ('Inndata Bygg'!G127+'Inndata Bygg'!O127+'Inndata Bygg'!S127)*(1+'Inndata Bygg'!K127)*Transport_utslipp_til_avfallshånderting_per_kg*IF('Inndata Bygg'!H127&gt;50, 0, _xlfn.XLOOKUP('Inndata Bygg'!H127, År_etter_ferdigstillelse, f_tid_x_f_tek_d_0_01_kumulativ)))</f>
        <v>0</v>
      </c>
      <c r="AB124" s="580" cm="1">
        <f t="array" ref="AB124">CalculateEmissionsFromIncinerationOfWaste('ZERO-B Beregning'!$D$17,'Inndata Bygg'!H127,'Inndata Bygg'!G127,'Inndata Bygg'!X127,'Inndata Bygg'!L127,'Inndata Bygg'!M127,'Inndata Bygg'!B127)</f>
        <v>0</v>
      </c>
      <c r="AC124" s="335">
        <f>IF(('Inndata Bygg'!G127+'Inndata Bygg'!O127+'Inndata Bygg'!S127) = 0, 0,('Inndata Bygg'!G127+'Inndata Bygg'!O127+'Inndata Bygg'!S127)*(('Inndata Bygg'!X127+'Inndata Bygg'!Y127+'Inndata Bygg'!AA127)*Transport_utslipp_til_avfallshånderting_per_kg+('Inndata Bygg'!Z127*'ZERO-B Beregning'!D226/1000)*IF('ZERO-B Beregning'!F227=0,'ZERO-B Beregning'!D227,'ZERO-B Beregning'!F227))*_xlfn.XLOOKUP(51, År_etter_ferdigstillelse, f_tid_x_f_tek_d_0_01))</f>
        <v>0</v>
      </c>
      <c r="AD124" s="577">
        <f>IF(('Inndata Bygg'!G127+'Inndata Bygg'!O127+'Inndata Bygg'!S127) = 0, 0,1.833*('Inndata Bygg'!G127*('Inndata Bygg'!L127*0.5+'Inndata Bygg'!M127*0.8)+'Inndata Bygg'!O127*'Inndata Bygg'!Q127+'Inndata Bygg'!S127*'Inndata Bygg'!U127)*AG124*_xlfn.XLOOKUP(51, År_etter_ferdigstillelse,  f_tid_x_f_tek_d_0_01))</f>
        <v>0</v>
      </c>
      <c r="AE124" s="575" cm="1">
        <f t="array" ref="AE124">CalculateEmissionsReductionFromReuse('ZERO-B Beregning'!$D$17,'Inndata Bygg'!H127,'Inndata Bygg'!G127,'Inndata Bygg'!Z127,'Inndata Bygg'!X127,'Inndata Bygg'!Y127,F124,'Inndata Bygg'!B127)</f>
        <v>0</v>
      </c>
      <c r="AF124" s="333" cm="1">
        <f t="array" ref="AF124">CalculateEmissionReductionFromRecycling('ZERO-B Beregning'!$D$17,'Inndata Bygg'!H127,'Inndata Bygg'!G127,'Inndata Bygg'!AA127,'Inndata Bygg'!X127,'Inndata Bygg'!Y127,F124,'Inndata Bygg'!B127)</f>
        <v>0</v>
      </c>
      <c r="AG124" s="572">
        <f>IF(('Inndata Bygg'!G127+'Inndata Bygg'!O127+'Inndata Bygg'!S127) = 0, 0,'Inndata Bygg'!X127*Faktorer!$Z$58)</f>
        <v>0</v>
      </c>
      <c r="AH124" s="573">
        <f>IF(('Inndata Bygg'!G127+'Inndata Bygg'!O127+'Inndata Bygg'!S127) = 0, 0,'Inndata Bygg'!Z127+('Inndata Bygg'!X127+'Inndata Bygg'!Y127)*(1-Faktorer!$Z$58)*0.5)</f>
        <v>0</v>
      </c>
      <c r="AI124" s="574">
        <f>IF(('Inndata Bygg'!G127+'Inndata Bygg'!O127+'Inndata Bygg'!S127) = 0, 0,'Inndata Bygg'!AA127+('Inndata Bygg'!X127+'Inndata Bygg'!Y127)*(1-Faktorer!$Z$58)*0.5)</f>
        <v>0</v>
      </c>
      <c r="AJ124" s="634"/>
      <c r="AK124" s="90">
        <f t="shared" si="3"/>
        <v>0</v>
      </c>
      <c r="AL124" s="91">
        <f>'Resultater detaljert Bygg'!N124</f>
        <v>0</v>
      </c>
      <c r="AM124" s="91" t="str">
        <f>IF(F124=0,"",('Inndata Bygg'!E127+'Inndata Bygg'!F127)*ROUNDDOWN('Inndata Bygg'!I127,0)*(1+'Inndata Bygg'!K127))</f>
        <v/>
      </c>
    </row>
    <row r="125" spans="2:39">
      <c r="B125" s="339">
        <f>'Inndata Bygg'!B128</f>
        <v>0</v>
      </c>
      <c r="C125" s="340">
        <f>'Inndata Bygg'!C128</f>
        <v>0</v>
      </c>
      <c r="D125" s="341">
        <f>'Inndata Bygg'!D128</f>
        <v>0</v>
      </c>
      <c r="E125" s="421" cm="1">
        <f t="array" ref="E125">SUM(IFERROR(F125:AD125,0))</f>
        <v>0</v>
      </c>
      <c r="F125" s="330">
        <f>'Inndata Bygg'!E128</f>
        <v>0</v>
      </c>
      <c r="G125" s="330">
        <f>IF('Inndata Bygg'!AB128="Ja", -0.8*'Resultater detaljert Bygg'!F125, 0)</f>
        <v>0</v>
      </c>
      <c r="H125" s="330">
        <f>IF('Inndata Bygg'!AC128="Ja", -0.4*'Resultater detaljert Bygg'!$F125, 0)</f>
        <v>0</v>
      </c>
      <c r="I125" s="330">
        <f>IF('Inndata Bygg'!AD128="Ja", -1*'Resultater detaljert Bygg'!$F125, 0)</f>
        <v>0</v>
      </c>
      <c r="J125" s="330">
        <f>'Inndata Bygg'!O128*'Inndata Bygg'!P128</f>
        <v>0</v>
      </c>
      <c r="K125" s="330">
        <f>MAX(-0.75*(SUM('Resultater detaljert Bygg'!F125:J125)),-'Inndata Bygg'!O128*'Inndata Bygg'!Q128)</f>
        <v>0</v>
      </c>
      <c r="L125" s="330">
        <f>'Inndata Bygg'!S128*'Inndata Bygg'!T128</f>
        <v>0</v>
      </c>
      <c r="M125" s="330">
        <f>MAX(-0.75*(SUM('Resultater detaljert Bygg'!F125:I125,L125)),-'Inndata Bygg'!S128*'Inndata Bygg'!U128)</f>
        <v>0</v>
      </c>
      <c r="N125" s="331">
        <f>'Inndata Bygg'!F128</f>
        <v>0</v>
      </c>
      <c r="O125" s="330">
        <f>'Inndata Bygg'!O128*'Inndata Bygg'!R128</f>
        <v>0</v>
      </c>
      <c r="P125" s="332">
        <f>'Inndata Bygg'!S128*'Inndata Bygg'!V128</f>
        <v>0</v>
      </c>
      <c r="Q125" s="493">
        <f>SUM(F125:J125,L125)*'Inndata Bygg'!K128</f>
        <v>0</v>
      </c>
      <c r="R125" s="333">
        <f>(K125+M125)*'Inndata Bygg'!K128</f>
        <v>0</v>
      </c>
      <c r="S125" s="493">
        <f>N125*'Inndata Bygg'!K128</f>
        <v>0</v>
      </c>
      <c r="T125" s="494">
        <f>'Inndata Bygg'!G128*'Inndata Bygg'!K128*Transport_utslipp_til_avfallshånderting_per_kg</f>
        <v>0</v>
      </c>
      <c r="U125" s="330">
        <f>IF('Inndata Bygg'!E128 = 0, 0, 1.833*'Inndata Bygg'!X128*'Inndata Bygg'!K128*('Inndata Bygg'!G128*('Inndata Bygg'!L128*0.5+'Inndata Bygg'!M128*0.8) + (12/44)*('Inndata Bygg'!O128*'Inndata Bygg'!Q128+'Inndata Bygg'!S128*'Inndata Bygg'!U128)))</f>
        <v>0</v>
      </c>
      <c r="V125" s="335" cm="1">
        <f t="array" ref="V125">CalculateBiogenicCarbonUptake('ZERO-B Beregning'!$D$17,'Inndata Bygg'!H128,'Inndata Bygg'!G128,'Inndata Bygg'!L128,F125,AB125,AC125,AD125)</f>
        <v>0</v>
      </c>
      <c r="W125" s="576" cm="1">
        <f t="array" ref="W125">CalculateCementCarbonUptake('ZERO-B Beregning'!$D$17,'Inndata Bygg'!H128,'Inndata Bygg'!G128,'Inndata Bygg'!N128)</f>
        <v>0</v>
      </c>
      <c r="X125" s="331" cm="1">
        <f t="array" ref="X125">IF(SUM(F125:J125,L125)=0, 0, SUM(F125:J125,L125)*(1+'Inndata Bygg'!K128)*IF('Inndata Bygg'!H128&gt;50, 0, _xlfn.XLOOKUP('Inndata Bygg'!H128, År_etter_ferdigstillelse, IF(VALUE(LEFT('Inndata Bygg'!B128, 2))= 49, f_tid_x_f_tek_d_0_037_kumulativ, f_tid_x_f_tek_d_0_01_kumulativ))))</f>
        <v>0</v>
      </c>
      <c r="Y125" s="330">
        <f>IF(X125=0, 0, SUM(K125,M125)*(1+'Inndata Bygg'!K128)*IF('Inndata Bygg'!H128&gt;50, 0, _xlfn.XLOOKUP('Inndata Bygg'!H128, År_etter_ferdigstillelse, f_tid_x_f_tek_d_0_01_kumulativ)))</f>
        <v>0</v>
      </c>
      <c r="Z125" s="336">
        <f>IF(X125=0, 0, SUM(N125:P125)*(1+'Inndata Bygg'!K128)*IF('Inndata Bygg'!H128&gt;50, 0, _xlfn.XLOOKUP('Inndata Bygg'!H128, År_etter_ferdigstillelse, f_tid_x_f_tek_d_0_01_kumulativ)))</f>
        <v>0</v>
      </c>
      <c r="AA125" s="336">
        <f>IF(X125=0, 0, ('Inndata Bygg'!G128+'Inndata Bygg'!O128+'Inndata Bygg'!S128)*(1+'Inndata Bygg'!K128)*Transport_utslipp_til_avfallshånderting_per_kg*IF('Inndata Bygg'!H128&gt;50, 0, _xlfn.XLOOKUP('Inndata Bygg'!H128, År_etter_ferdigstillelse, f_tid_x_f_tek_d_0_01_kumulativ)))</f>
        <v>0</v>
      </c>
      <c r="AB125" s="580" cm="1">
        <f t="array" ref="AB125">CalculateEmissionsFromIncinerationOfWaste('ZERO-B Beregning'!$D$17,'Inndata Bygg'!H128,'Inndata Bygg'!G128,'Inndata Bygg'!X128,'Inndata Bygg'!L128,'Inndata Bygg'!M128,'Inndata Bygg'!B128)</f>
        <v>0</v>
      </c>
      <c r="AC125" s="335">
        <f>IF(('Inndata Bygg'!G128+'Inndata Bygg'!O128+'Inndata Bygg'!S128) = 0, 0,('Inndata Bygg'!G128+'Inndata Bygg'!O128+'Inndata Bygg'!S128)*(('Inndata Bygg'!X128+'Inndata Bygg'!Y128+'Inndata Bygg'!AA128)*Transport_utslipp_til_avfallshånderting_per_kg+('Inndata Bygg'!Z128*'ZERO-B Beregning'!D227/1000)*IF('ZERO-B Beregning'!F228=0,'ZERO-B Beregning'!D228,'ZERO-B Beregning'!F228))*_xlfn.XLOOKUP(51, År_etter_ferdigstillelse, f_tid_x_f_tek_d_0_01))</f>
        <v>0</v>
      </c>
      <c r="AD125" s="577">
        <f>IF(('Inndata Bygg'!G128+'Inndata Bygg'!O128+'Inndata Bygg'!S128) = 0, 0,1.833*('Inndata Bygg'!G128*('Inndata Bygg'!L128*0.5+'Inndata Bygg'!M128*0.8)+'Inndata Bygg'!O128*'Inndata Bygg'!Q128+'Inndata Bygg'!S128*'Inndata Bygg'!U128)*AG125*_xlfn.XLOOKUP(51, År_etter_ferdigstillelse,  f_tid_x_f_tek_d_0_01))</f>
        <v>0</v>
      </c>
      <c r="AE125" s="575" cm="1">
        <f t="array" ref="AE125">CalculateEmissionsReductionFromReuse('ZERO-B Beregning'!$D$17,'Inndata Bygg'!H128,'Inndata Bygg'!G128,'Inndata Bygg'!Z128,'Inndata Bygg'!X128,'Inndata Bygg'!Y128,F125,'Inndata Bygg'!B128)</f>
        <v>0</v>
      </c>
      <c r="AF125" s="333" cm="1">
        <f t="array" ref="AF125">CalculateEmissionReductionFromRecycling('ZERO-B Beregning'!$D$17,'Inndata Bygg'!H128,'Inndata Bygg'!G128,'Inndata Bygg'!AA128,'Inndata Bygg'!X128,'Inndata Bygg'!Y128,F125,'Inndata Bygg'!B128)</f>
        <v>0</v>
      </c>
      <c r="AG125" s="572">
        <f>IF(('Inndata Bygg'!G128+'Inndata Bygg'!O128+'Inndata Bygg'!S128) = 0, 0,'Inndata Bygg'!X128*Faktorer!$Z$58)</f>
        <v>0</v>
      </c>
      <c r="AH125" s="573">
        <f>IF(('Inndata Bygg'!G128+'Inndata Bygg'!O128+'Inndata Bygg'!S128) = 0, 0,'Inndata Bygg'!Z128+('Inndata Bygg'!X128+'Inndata Bygg'!Y128)*(1-Faktorer!$Z$58)*0.5)</f>
        <v>0</v>
      </c>
      <c r="AI125" s="574">
        <f>IF(('Inndata Bygg'!G128+'Inndata Bygg'!O128+'Inndata Bygg'!S128) = 0, 0,'Inndata Bygg'!AA128+('Inndata Bygg'!X128+'Inndata Bygg'!Y128)*(1-Faktorer!$Z$58)*0.5)</f>
        <v>0</v>
      </c>
      <c r="AJ125" s="634"/>
      <c r="AK125" s="90">
        <f t="shared" si="3"/>
        <v>0</v>
      </c>
      <c r="AL125" s="91">
        <f>'Resultater detaljert Bygg'!N125</f>
        <v>0</v>
      </c>
      <c r="AM125" s="91" t="str">
        <f>IF(F125=0,"",('Inndata Bygg'!E128+'Inndata Bygg'!F128)*ROUNDDOWN('Inndata Bygg'!I128,0)*(1+'Inndata Bygg'!K128))</f>
        <v/>
      </c>
    </row>
    <row r="126" spans="2:39">
      <c r="B126" s="339">
        <f>'Inndata Bygg'!B129</f>
        <v>0</v>
      </c>
      <c r="C126" s="340">
        <f>'Inndata Bygg'!C129</f>
        <v>0</v>
      </c>
      <c r="D126" s="341">
        <f>'Inndata Bygg'!D129</f>
        <v>0</v>
      </c>
      <c r="E126" s="421" cm="1">
        <f t="array" ref="E126">SUM(IFERROR(F126:AD126,0))</f>
        <v>0</v>
      </c>
      <c r="F126" s="330">
        <f>'Inndata Bygg'!E129</f>
        <v>0</v>
      </c>
      <c r="G126" s="330">
        <f>IF('Inndata Bygg'!AB129="Ja", -0.8*'Resultater detaljert Bygg'!F126, 0)</f>
        <v>0</v>
      </c>
      <c r="H126" s="330">
        <f>IF('Inndata Bygg'!AC129="Ja", -0.4*'Resultater detaljert Bygg'!$F126, 0)</f>
        <v>0</v>
      </c>
      <c r="I126" s="330">
        <f>IF('Inndata Bygg'!AD129="Ja", -1*'Resultater detaljert Bygg'!$F126, 0)</f>
        <v>0</v>
      </c>
      <c r="J126" s="330">
        <f>'Inndata Bygg'!O129*'Inndata Bygg'!P129</f>
        <v>0</v>
      </c>
      <c r="K126" s="330">
        <f>MAX(-0.75*(SUM('Resultater detaljert Bygg'!F126:J126)),-'Inndata Bygg'!O129*'Inndata Bygg'!Q129)</f>
        <v>0</v>
      </c>
      <c r="L126" s="330">
        <f>'Inndata Bygg'!S129*'Inndata Bygg'!T129</f>
        <v>0</v>
      </c>
      <c r="M126" s="330">
        <f>MAX(-0.75*(SUM('Resultater detaljert Bygg'!F126:I126,L126)),-'Inndata Bygg'!S129*'Inndata Bygg'!U129)</f>
        <v>0</v>
      </c>
      <c r="N126" s="331">
        <f>'Inndata Bygg'!F129</f>
        <v>0</v>
      </c>
      <c r="O126" s="330">
        <f>'Inndata Bygg'!O129*'Inndata Bygg'!R129</f>
        <v>0</v>
      </c>
      <c r="P126" s="332">
        <f>'Inndata Bygg'!S129*'Inndata Bygg'!V129</f>
        <v>0</v>
      </c>
      <c r="Q126" s="493">
        <f>SUM(F126:J126,L126)*'Inndata Bygg'!K129</f>
        <v>0</v>
      </c>
      <c r="R126" s="333">
        <f>(K126+M126)*'Inndata Bygg'!K129</f>
        <v>0</v>
      </c>
      <c r="S126" s="493">
        <f>N126*'Inndata Bygg'!K129</f>
        <v>0</v>
      </c>
      <c r="T126" s="494">
        <f>'Inndata Bygg'!G129*'Inndata Bygg'!K129*Transport_utslipp_til_avfallshånderting_per_kg</f>
        <v>0</v>
      </c>
      <c r="U126" s="330">
        <f>IF('Inndata Bygg'!E129 = 0, 0, 1.833*'Inndata Bygg'!X129*'Inndata Bygg'!K129*('Inndata Bygg'!G129*('Inndata Bygg'!L129*0.5+'Inndata Bygg'!M129*0.8) + (12/44)*('Inndata Bygg'!O129*'Inndata Bygg'!Q129+'Inndata Bygg'!S129*'Inndata Bygg'!U129)))</f>
        <v>0</v>
      </c>
      <c r="V126" s="335" cm="1">
        <f t="array" ref="V126">CalculateBiogenicCarbonUptake('ZERO-B Beregning'!$D$17,'Inndata Bygg'!H129,'Inndata Bygg'!G129,'Inndata Bygg'!L129,F126,AB126,AC126,AD126)</f>
        <v>0</v>
      </c>
      <c r="W126" s="576" cm="1">
        <f t="array" ref="W126">CalculateCementCarbonUptake('ZERO-B Beregning'!$D$17,'Inndata Bygg'!H129,'Inndata Bygg'!G129,'Inndata Bygg'!N129)</f>
        <v>0</v>
      </c>
      <c r="X126" s="331" cm="1">
        <f t="array" ref="X126">IF(SUM(F126:J126,L126)=0, 0, SUM(F126:J126,L126)*(1+'Inndata Bygg'!K129)*IF('Inndata Bygg'!H129&gt;50, 0, _xlfn.XLOOKUP('Inndata Bygg'!H129, År_etter_ferdigstillelse, IF(VALUE(LEFT('Inndata Bygg'!B129, 2))= 49, f_tid_x_f_tek_d_0_037_kumulativ, f_tid_x_f_tek_d_0_01_kumulativ))))</f>
        <v>0</v>
      </c>
      <c r="Y126" s="330">
        <f>IF(X126=0, 0, SUM(K126,M126)*(1+'Inndata Bygg'!K129)*IF('Inndata Bygg'!H129&gt;50, 0, _xlfn.XLOOKUP('Inndata Bygg'!H129, År_etter_ferdigstillelse, f_tid_x_f_tek_d_0_01_kumulativ)))</f>
        <v>0</v>
      </c>
      <c r="Z126" s="336">
        <f>IF(X126=0, 0, SUM(N126:P126)*(1+'Inndata Bygg'!K129)*IF('Inndata Bygg'!H129&gt;50, 0, _xlfn.XLOOKUP('Inndata Bygg'!H129, År_etter_ferdigstillelse, f_tid_x_f_tek_d_0_01_kumulativ)))</f>
        <v>0</v>
      </c>
      <c r="AA126" s="336">
        <f>IF(X126=0, 0, ('Inndata Bygg'!G129+'Inndata Bygg'!O129+'Inndata Bygg'!S129)*(1+'Inndata Bygg'!K129)*Transport_utslipp_til_avfallshånderting_per_kg*IF('Inndata Bygg'!H129&gt;50, 0, _xlfn.XLOOKUP('Inndata Bygg'!H129, År_etter_ferdigstillelse, f_tid_x_f_tek_d_0_01_kumulativ)))</f>
        <v>0</v>
      </c>
      <c r="AB126" s="580" cm="1">
        <f t="array" ref="AB126">CalculateEmissionsFromIncinerationOfWaste('ZERO-B Beregning'!$D$17,'Inndata Bygg'!H129,'Inndata Bygg'!G129,'Inndata Bygg'!X129,'Inndata Bygg'!L129,'Inndata Bygg'!M129,'Inndata Bygg'!B129)</f>
        <v>0</v>
      </c>
      <c r="AC126" s="335">
        <f>IF(('Inndata Bygg'!G129+'Inndata Bygg'!O129+'Inndata Bygg'!S129) = 0, 0,('Inndata Bygg'!G129+'Inndata Bygg'!O129+'Inndata Bygg'!S129)*(('Inndata Bygg'!X129+'Inndata Bygg'!Y129+'Inndata Bygg'!AA129)*Transport_utslipp_til_avfallshånderting_per_kg+('Inndata Bygg'!Z129*'ZERO-B Beregning'!D228/1000)*IF('ZERO-B Beregning'!F229=0,'ZERO-B Beregning'!D229,'ZERO-B Beregning'!F229))*_xlfn.XLOOKUP(51, År_etter_ferdigstillelse, f_tid_x_f_tek_d_0_01))</f>
        <v>0</v>
      </c>
      <c r="AD126" s="577">
        <f>IF(('Inndata Bygg'!G129+'Inndata Bygg'!O129+'Inndata Bygg'!S129) = 0, 0,1.833*('Inndata Bygg'!G129*('Inndata Bygg'!L129*0.5+'Inndata Bygg'!M129*0.8)+'Inndata Bygg'!O129*'Inndata Bygg'!Q129+'Inndata Bygg'!S129*'Inndata Bygg'!U129)*AG126*_xlfn.XLOOKUP(51, År_etter_ferdigstillelse,  f_tid_x_f_tek_d_0_01))</f>
        <v>0</v>
      </c>
      <c r="AE126" s="575" cm="1">
        <f t="array" ref="AE126">CalculateEmissionsReductionFromReuse('ZERO-B Beregning'!$D$17,'Inndata Bygg'!H129,'Inndata Bygg'!G129,'Inndata Bygg'!Z129,'Inndata Bygg'!X129,'Inndata Bygg'!Y129,F126,'Inndata Bygg'!B129)</f>
        <v>0</v>
      </c>
      <c r="AF126" s="333" cm="1">
        <f t="array" ref="AF126">CalculateEmissionReductionFromRecycling('ZERO-B Beregning'!$D$17,'Inndata Bygg'!H129,'Inndata Bygg'!G129,'Inndata Bygg'!AA129,'Inndata Bygg'!X129,'Inndata Bygg'!Y129,F126,'Inndata Bygg'!B129)</f>
        <v>0</v>
      </c>
      <c r="AG126" s="572">
        <f>IF(('Inndata Bygg'!G129+'Inndata Bygg'!O129+'Inndata Bygg'!S129) = 0, 0,'Inndata Bygg'!X129*Faktorer!$Z$58)</f>
        <v>0</v>
      </c>
      <c r="AH126" s="573">
        <f>IF(('Inndata Bygg'!G129+'Inndata Bygg'!O129+'Inndata Bygg'!S129) = 0, 0,'Inndata Bygg'!Z129+('Inndata Bygg'!X129+'Inndata Bygg'!Y129)*(1-Faktorer!$Z$58)*0.5)</f>
        <v>0</v>
      </c>
      <c r="AI126" s="574">
        <f>IF(('Inndata Bygg'!G129+'Inndata Bygg'!O129+'Inndata Bygg'!S129) = 0, 0,'Inndata Bygg'!AA129+('Inndata Bygg'!X129+'Inndata Bygg'!Y129)*(1-Faktorer!$Z$58)*0.5)</f>
        <v>0</v>
      </c>
      <c r="AJ126" s="634"/>
      <c r="AK126" s="90">
        <f t="shared" si="3"/>
        <v>0</v>
      </c>
      <c r="AL126" s="91">
        <f>'Resultater detaljert Bygg'!N126</f>
        <v>0</v>
      </c>
      <c r="AM126" s="91" t="str">
        <f>IF(F126=0,"",('Inndata Bygg'!E129+'Inndata Bygg'!F129)*ROUNDDOWN('Inndata Bygg'!I129,0)*(1+'Inndata Bygg'!K129))</f>
        <v/>
      </c>
    </row>
    <row r="127" spans="2:39">
      <c r="B127" s="339">
        <f>'Inndata Bygg'!B130</f>
        <v>0</v>
      </c>
      <c r="C127" s="340">
        <f>'Inndata Bygg'!C130</f>
        <v>0</v>
      </c>
      <c r="D127" s="341">
        <f>'Inndata Bygg'!D130</f>
        <v>0</v>
      </c>
      <c r="E127" s="421" cm="1">
        <f t="array" ref="E127">SUM(IFERROR(F127:AD127,0))</f>
        <v>0</v>
      </c>
      <c r="F127" s="330">
        <f>'Inndata Bygg'!E130</f>
        <v>0</v>
      </c>
      <c r="G127" s="330">
        <f>IF('Inndata Bygg'!AB130="Ja", -0.8*'Resultater detaljert Bygg'!F127, 0)</f>
        <v>0</v>
      </c>
      <c r="H127" s="330">
        <f>IF('Inndata Bygg'!AC130="Ja", -0.4*'Resultater detaljert Bygg'!$F127, 0)</f>
        <v>0</v>
      </c>
      <c r="I127" s="330">
        <f>IF('Inndata Bygg'!AD130="Ja", -1*'Resultater detaljert Bygg'!$F127, 0)</f>
        <v>0</v>
      </c>
      <c r="J127" s="330">
        <f>'Inndata Bygg'!O130*'Inndata Bygg'!P130</f>
        <v>0</v>
      </c>
      <c r="K127" s="330">
        <f>MAX(-0.75*(SUM('Resultater detaljert Bygg'!F127:J127)),-'Inndata Bygg'!O130*'Inndata Bygg'!Q130)</f>
        <v>0</v>
      </c>
      <c r="L127" s="330">
        <f>'Inndata Bygg'!S130*'Inndata Bygg'!T130</f>
        <v>0</v>
      </c>
      <c r="M127" s="330">
        <f>MAX(-0.75*(SUM('Resultater detaljert Bygg'!F127:I127,L127)),-'Inndata Bygg'!S130*'Inndata Bygg'!U130)</f>
        <v>0</v>
      </c>
      <c r="N127" s="331">
        <f>'Inndata Bygg'!F130</f>
        <v>0</v>
      </c>
      <c r="O127" s="330">
        <f>'Inndata Bygg'!O130*'Inndata Bygg'!R130</f>
        <v>0</v>
      </c>
      <c r="P127" s="332">
        <f>'Inndata Bygg'!S130*'Inndata Bygg'!V130</f>
        <v>0</v>
      </c>
      <c r="Q127" s="493">
        <f>SUM(F127:J127,L127)*'Inndata Bygg'!K130</f>
        <v>0</v>
      </c>
      <c r="R127" s="333">
        <f>(K127+M127)*'Inndata Bygg'!K130</f>
        <v>0</v>
      </c>
      <c r="S127" s="493">
        <f>N127*'Inndata Bygg'!K130</f>
        <v>0</v>
      </c>
      <c r="T127" s="494">
        <f>'Inndata Bygg'!G130*'Inndata Bygg'!K130*Transport_utslipp_til_avfallshånderting_per_kg</f>
        <v>0</v>
      </c>
      <c r="U127" s="330">
        <f>IF('Inndata Bygg'!E130 = 0, 0, 1.833*'Inndata Bygg'!X130*'Inndata Bygg'!K130*('Inndata Bygg'!G130*('Inndata Bygg'!L130*0.5+'Inndata Bygg'!M130*0.8) + (12/44)*('Inndata Bygg'!O130*'Inndata Bygg'!Q130+'Inndata Bygg'!S130*'Inndata Bygg'!U130)))</f>
        <v>0</v>
      </c>
      <c r="V127" s="335" cm="1">
        <f t="array" ref="V127">CalculateBiogenicCarbonUptake('ZERO-B Beregning'!$D$17,'Inndata Bygg'!H130,'Inndata Bygg'!G130,'Inndata Bygg'!L130,F127,AB127,AC127,AD127)</f>
        <v>0</v>
      </c>
      <c r="W127" s="576" cm="1">
        <f t="array" ref="W127">CalculateCementCarbonUptake('ZERO-B Beregning'!$D$17,'Inndata Bygg'!H130,'Inndata Bygg'!G130,'Inndata Bygg'!N130)</f>
        <v>0</v>
      </c>
      <c r="X127" s="331" cm="1">
        <f t="array" ref="X127">IF(SUM(F127:J127,L127)=0, 0, SUM(F127:J127,L127)*(1+'Inndata Bygg'!K130)*IF('Inndata Bygg'!H130&gt;50, 0, _xlfn.XLOOKUP('Inndata Bygg'!H130, År_etter_ferdigstillelse, IF(VALUE(LEFT('Inndata Bygg'!B130, 2))= 49, f_tid_x_f_tek_d_0_037_kumulativ, f_tid_x_f_tek_d_0_01_kumulativ))))</f>
        <v>0</v>
      </c>
      <c r="Y127" s="330">
        <f>IF(X127=0, 0, SUM(K127,M127)*(1+'Inndata Bygg'!K130)*IF('Inndata Bygg'!H130&gt;50, 0, _xlfn.XLOOKUP('Inndata Bygg'!H130, År_etter_ferdigstillelse, f_tid_x_f_tek_d_0_01_kumulativ)))</f>
        <v>0</v>
      </c>
      <c r="Z127" s="336">
        <f>IF(X127=0, 0, SUM(N127:P127)*(1+'Inndata Bygg'!K130)*IF('Inndata Bygg'!H130&gt;50, 0, _xlfn.XLOOKUP('Inndata Bygg'!H130, År_etter_ferdigstillelse, f_tid_x_f_tek_d_0_01_kumulativ)))</f>
        <v>0</v>
      </c>
      <c r="AA127" s="336">
        <f>IF(X127=0, 0, ('Inndata Bygg'!G130+'Inndata Bygg'!O130+'Inndata Bygg'!S130)*(1+'Inndata Bygg'!K130)*Transport_utslipp_til_avfallshånderting_per_kg*IF('Inndata Bygg'!H130&gt;50, 0, _xlfn.XLOOKUP('Inndata Bygg'!H130, År_etter_ferdigstillelse, f_tid_x_f_tek_d_0_01_kumulativ)))</f>
        <v>0</v>
      </c>
      <c r="AB127" s="580" cm="1">
        <f t="array" ref="AB127">CalculateEmissionsFromIncinerationOfWaste('ZERO-B Beregning'!$D$17,'Inndata Bygg'!H130,'Inndata Bygg'!G130,'Inndata Bygg'!X130,'Inndata Bygg'!L130,'Inndata Bygg'!M130,'Inndata Bygg'!B130)</f>
        <v>0</v>
      </c>
      <c r="AC127" s="335">
        <f>IF(('Inndata Bygg'!G130+'Inndata Bygg'!O130+'Inndata Bygg'!S130) = 0, 0,('Inndata Bygg'!G130+'Inndata Bygg'!O130+'Inndata Bygg'!S130)*(('Inndata Bygg'!X130+'Inndata Bygg'!Y130+'Inndata Bygg'!AA130)*Transport_utslipp_til_avfallshånderting_per_kg+('Inndata Bygg'!Z130*'ZERO-B Beregning'!D229/1000)*IF('ZERO-B Beregning'!F230=0,'ZERO-B Beregning'!D230,'ZERO-B Beregning'!F230))*_xlfn.XLOOKUP(51, År_etter_ferdigstillelse, f_tid_x_f_tek_d_0_01))</f>
        <v>0</v>
      </c>
      <c r="AD127" s="577">
        <f>IF(('Inndata Bygg'!G130+'Inndata Bygg'!O130+'Inndata Bygg'!S130) = 0, 0,1.833*('Inndata Bygg'!G130*('Inndata Bygg'!L130*0.5+'Inndata Bygg'!M130*0.8)+'Inndata Bygg'!O130*'Inndata Bygg'!Q130+'Inndata Bygg'!S130*'Inndata Bygg'!U130)*AG127*_xlfn.XLOOKUP(51, År_etter_ferdigstillelse,  f_tid_x_f_tek_d_0_01))</f>
        <v>0</v>
      </c>
      <c r="AE127" s="575" cm="1">
        <f t="array" ref="AE127">CalculateEmissionsReductionFromReuse('ZERO-B Beregning'!$D$17,'Inndata Bygg'!H130,'Inndata Bygg'!G130,'Inndata Bygg'!Z130,'Inndata Bygg'!X130,'Inndata Bygg'!Y130,F127,'Inndata Bygg'!B130)</f>
        <v>0</v>
      </c>
      <c r="AF127" s="333" cm="1">
        <f t="array" ref="AF127">CalculateEmissionReductionFromRecycling('ZERO-B Beregning'!$D$17,'Inndata Bygg'!H130,'Inndata Bygg'!G130,'Inndata Bygg'!AA130,'Inndata Bygg'!X130,'Inndata Bygg'!Y130,F127,'Inndata Bygg'!B130)</f>
        <v>0</v>
      </c>
      <c r="AG127" s="572">
        <f>IF(('Inndata Bygg'!G130+'Inndata Bygg'!O130+'Inndata Bygg'!S130) = 0, 0,'Inndata Bygg'!X130*Faktorer!$Z$58)</f>
        <v>0</v>
      </c>
      <c r="AH127" s="573">
        <f>IF(('Inndata Bygg'!G130+'Inndata Bygg'!O130+'Inndata Bygg'!S130) = 0, 0,'Inndata Bygg'!Z130+('Inndata Bygg'!X130+'Inndata Bygg'!Y130)*(1-Faktorer!$Z$58)*0.5)</f>
        <v>0</v>
      </c>
      <c r="AI127" s="574">
        <f>IF(('Inndata Bygg'!G130+'Inndata Bygg'!O130+'Inndata Bygg'!S130) = 0, 0,'Inndata Bygg'!AA130+('Inndata Bygg'!X130+'Inndata Bygg'!Y130)*(1-Faktorer!$Z$58)*0.5)</f>
        <v>0</v>
      </c>
      <c r="AJ127" s="634"/>
      <c r="AK127" s="90">
        <f t="shared" si="3"/>
        <v>0</v>
      </c>
      <c r="AL127" s="91">
        <f>'Resultater detaljert Bygg'!N127</f>
        <v>0</v>
      </c>
      <c r="AM127" s="91" t="str">
        <f>IF(F127=0,"",('Inndata Bygg'!E130+'Inndata Bygg'!F130)*ROUNDDOWN('Inndata Bygg'!I130,0)*(1+'Inndata Bygg'!K130))</f>
        <v/>
      </c>
    </row>
    <row r="128" spans="2:39">
      <c r="B128" s="339">
        <f>'Inndata Bygg'!B131</f>
        <v>0</v>
      </c>
      <c r="C128" s="340">
        <f>'Inndata Bygg'!C131</f>
        <v>0</v>
      </c>
      <c r="D128" s="341">
        <f>'Inndata Bygg'!D131</f>
        <v>0</v>
      </c>
      <c r="E128" s="421" cm="1">
        <f t="array" ref="E128">SUM(IFERROR(F128:AD128,0))</f>
        <v>0</v>
      </c>
      <c r="F128" s="330">
        <f>'Inndata Bygg'!E131</f>
        <v>0</v>
      </c>
      <c r="G128" s="330">
        <f>IF('Inndata Bygg'!AB131="Ja", -0.8*'Resultater detaljert Bygg'!F128, 0)</f>
        <v>0</v>
      </c>
      <c r="H128" s="330">
        <f>IF('Inndata Bygg'!AC131="Ja", -0.4*'Resultater detaljert Bygg'!$F128, 0)</f>
        <v>0</v>
      </c>
      <c r="I128" s="330">
        <f>IF('Inndata Bygg'!AD131="Ja", -1*'Resultater detaljert Bygg'!$F128, 0)</f>
        <v>0</v>
      </c>
      <c r="J128" s="330">
        <f>'Inndata Bygg'!O131*'Inndata Bygg'!P131</f>
        <v>0</v>
      </c>
      <c r="K128" s="330">
        <f>MAX(-0.75*(SUM('Resultater detaljert Bygg'!F128:J128)),-'Inndata Bygg'!O131*'Inndata Bygg'!Q131)</f>
        <v>0</v>
      </c>
      <c r="L128" s="330">
        <f>'Inndata Bygg'!S131*'Inndata Bygg'!T131</f>
        <v>0</v>
      </c>
      <c r="M128" s="330">
        <f>MAX(-0.75*(SUM('Resultater detaljert Bygg'!F128:I128,L128)),-'Inndata Bygg'!S131*'Inndata Bygg'!U131)</f>
        <v>0</v>
      </c>
      <c r="N128" s="331">
        <f>'Inndata Bygg'!F131</f>
        <v>0</v>
      </c>
      <c r="O128" s="330">
        <f>'Inndata Bygg'!O131*'Inndata Bygg'!R131</f>
        <v>0</v>
      </c>
      <c r="P128" s="332">
        <f>'Inndata Bygg'!S131*'Inndata Bygg'!V131</f>
        <v>0</v>
      </c>
      <c r="Q128" s="493">
        <f>SUM(F128:J128,L128)*'Inndata Bygg'!K131</f>
        <v>0</v>
      </c>
      <c r="R128" s="333">
        <f>(K128+M128)*'Inndata Bygg'!K131</f>
        <v>0</v>
      </c>
      <c r="S128" s="493">
        <f>N128*'Inndata Bygg'!K131</f>
        <v>0</v>
      </c>
      <c r="T128" s="494">
        <f>'Inndata Bygg'!G131*'Inndata Bygg'!K131*Transport_utslipp_til_avfallshånderting_per_kg</f>
        <v>0</v>
      </c>
      <c r="U128" s="330">
        <f>IF('Inndata Bygg'!E131 = 0, 0, 1.833*'Inndata Bygg'!X131*'Inndata Bygg'!K131*('Inndata Bygg'!G131*('Inndata Bygg'!L131*0.5+'Inndata Bygg'!M131*0.8) + (12/44)*('Inndata Bygg'!O131*'Inndata Bygg'!Q131+'Inndata Bygg'!S131*'Inndata Bygg'!U131)))</f>
        <v>0</v>
      </c>
      <c r="V128" s="335" cm="1">
        <f t="array" ref="V128">CalculateBiogenicCarbonUptake('ZERO-B Beregning'!$D$17,'Inndata Bygg'!H131,'Inndata Bygg'!G131,'Inndata Bygg'!L131,F128,AB128,AC128,AD128)</f>
        <v>0</v>
      </c>
      <c r="W128" s="576" cm="1">
        <f t="array" ref="W128">CalculateCementCarbonUptake('ZERO-B Beregning'!$D$17,'Inndata Bygg'!H131,'Inndata Bygg'!G131,'Inndata Bygg'!N131)</f>
        <v>0</v>
      </c>
      <c r="X128" s="331" cm="1">
        <f t="array" ref="X128">IF(SUM(F128:J128,L128)=0, 0, SUM(F128:J128,L128)*(1+'Inndata Bygg'!K131)*IF('Inndata Bygg'!H131&gt;50, 0, _xlfn.XLOOKUP('Inndata Bygg'!H131, År_etter_ferdigstillelse, IF(VALUE(LEFT('Inndata Bygg'!B131, 2))= 49, f_tid_x_f_tek_d_0_037_kumulativ, f_tid_x_f_tek_d_0_01_kumulativ))))</f>
        <v>0</v>
      </c>
      <c r="Y128" s="330">
        <f>IF(X128=0, 0, SUM(K128,M128)*(1+'Inndata Bygg'!K131)*IF('Inndata Bygg'!H131&gt;50, 0, _xlfn.XLOOKUP('Inndata Bygg'!H131, År_etter_ferdigstillelse, f_tid_x_f_tek_d_0_01_kumulativ)))</f>
        <v>0</v>
      </c>
      <c r="Z128" s="336">
        <f>IF(X128=0, 0, SUM(N128:P128)*(1+'Inndata Bygg'!K131)*IF('Inndata Bygg'!H131&gt;50, 0, _xlfn.XLOOKUP('Inndata Bygg'!H131, År_etter_ferdigstillelse, f_tid_x_f_tek_d_0_01_kumulativ)))</f>
        <v>0</v>
      </c>
      <c r="AA128" s="336">
        <f>IF(X128=0, 0, ('Inndata Bygg'!G131+'Inndata Bygg'!O131+'Inndata Bygg'!S131)*(1+'Inndata Bygg'!K131)*Transport_utslipp_til_avfallshånderting_per_kg*IF('Inndata Bygg'!H131&gt;50, 0, _xlfn.XLOOKUP('Inndata Bygg'!H131, År_etter_ferdigstillelse, f_tid_x_f_tek_d_0_01_kumulativ)))</f>
        <v>0</v>
      </c>
      <c r="AB128" s="580" cm="1">
        <f t="array" ref="AB128">CalculateEmissionsFromIncinerationOfWaste('ZERO-B Beregning'!$D$17,'Inndata Bygg'!H131,'Inndata Bygg'!G131,'Inndata Bygg'!X131,'Inndata Bygg'!L131,'Inndata Bygg'!M131,'Inndata Bygg'!B131)</f>
        <v>0</v>
      </c>
      <c r="AC128" s="335">
        <f>IF(('Inndata Bygg'!G131+'Inndata Bygg'!O131+'Inndata Bygg'!S131) = 0, 0,('Inndata Bygg'!G131+'Inndata Bygg'!O131+'Inndata Bygg'!S131)*(('Inndata Bygg'!X131+'Inndata Bygg'!Y131+'Inndata Bygg'!AA131)*Transport_utslipp_til_avfallshånderting_per_kg+('Inndata Bygg'!Z131*'ZERO-B Beregning'!D230/1000)*IF('ZERO-B Beregning'!F231=0,'ZERO-B Beregning'!D231,'ZERO-B Beregning'!F231))*_xlfn.XLOOKUP(51, År_etter_ferdigstillelse, f_tid_x_f_tek_d_0_01))</f>
        <v>0</v>
      </c>
      <c r="AD128" s="577">
        <f>IF(('Inndata Bygg'!G131+'Inndata Bygg'!O131+'Inndata Bygg'!S131) = 0, 0,1.833*('Inndata Bygg'!G131*('Inndata Bygg'!L131*0.5+'Inndata Bygg'!M131*0.8)+'Inndata Bygg'!O131*'Inndata Bygg'!Q131+'Inndata Bygg'!S131*'Inndata Bygg'!U131)*AG128*_xlfn.XLOOKUP(51, År_etter_ferdigstillelse,  f_tid_x_f_tek_d_0_01))</f>
        <v>0</v>
      </c>
      <c r="AE128" s="575" cm="1">
        <f t="array" ref="AE128">CalculateEmissionsReductionFromReuse('ZERO-B Beregning'!$D$17,'Inndata Bygg'!H131,'Inndata Bygg'!G131,'Inndata Bygg'!Z131,'Inndata Bygg'!X131,'Inndata Bygg'!Y131,F128,'Inndata Bygg'!B131)</f>
        <v>0</v>
      </c>
      <c r="AF128" s="333" cm="1">
        <f t="array" ref="AF128">CalculateEmissionReductionFromRecycling('ZERO-B Beregning'!$D$17,'Inndata Bygg'!H131,'Inndata Bygg'!G131,'Inndata Bygg'!AA131,'Inndata Bygg'!X131,'Inndata Bygg'!Y131,F128,'Inndata Bygg'!B131)</f>
        <v>0</v>
      </c>
      <c r="AG128" s="572">
        <f>IF(('Inndata Bygg'!G131+'Inndata Bygg'!O131+'Inndata Bygg'!S131) = 0, 0,'Inndata Bygg'!X131*Faktorer!$Z$58)</f>
        <v>0</v>
      </c>
      <c r="AH128" s="573">
        <f>IF(('Inndata Bygg'!G131+'Inndata Bygg'!O131+'Inndata Bygg'!S131) = 0, 0,'Inndata Bygg'!Z131+('Inndata Bygg'!X131+'Inndata Bygg'!Y131)*(1-Faktorer!$Z$58)*0.5)</f>
        <v>0</v>
      </c>
      <c r="AI128" s="574">
        <f>IF(('Inndata Bygg'!G131+'Inndata Bygg'!O131+'Inndata Bygg'!S131) = 0, 0,'Inndata Bygg'!AA131+('Inndata Bygg'!X131+'Inndata Bygg'!Y131)*(1-Faktorer!$Z$58)*0.5)</f>
        <v>0</v>
      </c>
      <c r="AJ128" s="634"/>
      <c r="AK128" s="90">
        <f t="shared" si="3"/>
        <v>0</v>
      </c>
      <c r="AL128" s="91">
        <f>'Resultater detaljert Bygg'!N128</f>
        <v>0</v>
      </c>
      <c r="AM128" s="91" t="str">
        <f>IF(F128=0,"",('Inndata Bygg'!E131+'Inndata Bygg'!F131)*ROUNDDOWN('Inndata Bygg'!I131,0)*(1+'Inndata Bygg'!K131))</f>
        <v/>
      </c>
    </row>
    <row r="129" spans="2:39">
      <c r="B129" s="339">
        <f>'Inndata Bygg'!B132</f>
        <v>0</v>
      </c>
      <c r="C129" s="340">
        <f>'Inndata Bygg'!C132</f>
        <v>0</v>
      </c>
      <c r="D129" s="341">
        <f>'Inndata Bygg'!D132</f>
        <v>0</v>
      </c>
      <c r="E129" s="421" cm="1">
        <f t="array" ref="E129">SUM(IFERROR(F129:AD129,0))</f>
        <v>0</v>
      </c>
      <c r="F129" s="330">
        <f>'Inndata Bygg'!E132</f>
        <v>0</v>
      </c>
      <c r="G129" s="330">
        <f>IF('Inndata Bygg'!AB132="Ja", -0.8*'Resultater detaljert Bygg'!F129, 0)</f>
        <v>0</v>
      </c>
      <c r="H129" s="330">
        <f>IF('Inndata Bygg'!AC132="Ja", -0.4*'Resultater detaljert Bygg'!$F129, 0)</f>
        <v>0</v>
      </c>
      <c r="I129" s="330">
        <f>IF('Inndata Bygg'!AD132="Ja", -1*'Resultater detaljert Bygg'!$F129, 0)</f>
        <v>0</v>
      </c>
      <c r="J129" s="330">
        <f>'Inndata Bygg'!O132*'Inndata Bygg'!P132</f>
        <v>0</v>
      </c>
      <c r="K129" s="330">
        <f>MAX(-0.75*(SUM('Resultater detaljert Bygg'!F129:J129)),-'Inndata Bygg'!O132*'Inndata Bygg'!Q132)</f>
        <v>0</v>
      </c>
      <c r="L129" s="330">
        <f>'Inndata Bygg'!S132*'Inndata Bygg'!T132</f>
        <v>0</v>
      </c>
      <c r="M129" s="330">
        <f>MAX(-0.75*(SUM('Resultater detaljert Bygg'!F129:I129,L129)),-'Inndata Bygg'!S132*'Inndata Bygg'!U132)</f>
        <v>0</v>
      </c>
      <c r="N129" s="331">
        <f>'Inndata Bygg'!F132</f>
        <v>0</v>
      </c>
      <c r="O129" s="330">
        <f>'Inndata Bygg'!O132*'Inndata Bygg'!R132</f>
        <v>0</v>
      </c>
      <c r="P129" s="332">
        <f>'Inndata Bygg'!S132*'Inndata Bygg'!V132</f>
        <v>0</v>
      </c>
      <c r="Q129" s="493">
        <f>SUM(F129:J129,L129)*'Inndata Bygg'!K132</f>
        <v>0</v>
      </c>
      <c r="R129" s="333">
        <f>(K129+M129)*'Inndata Bygg'!K132</f>
        <v>0</v>
      </c>
      <c r="S129" s="493">
        <f>N129*'Inndata Bygg'!K132</f>
        <v>0</v>
      </c>
      <c r="T129" s="494">
        <f>'Inndata Bygg'!G132*'Inndata Bygg'!K132*Transport_utslipp_til_avfallshånderting_per_kg</f>
        <v>0</v>
      </c>
      <c r="U129" s="330">
        <f>IF('Inndata Bygg'!E132 = 0, 0, 1.833*'Inndata Bygg'!X132*'Inndata Bygg'!K132*('Inndata Bygg'!G132*('Inndata Bygg'!L132*0.5+'Inndata Bygg'!M132*0.8) + (12/44)*('Inndata Bygg'!O132*'Inndata Bygg'!Q132+'Inndata Bygg'!S132*'Inndata Bygg'!U132)))</f>
        <v>0</v>
      </c>
      <c r="V129" s="335" cm="1">
        <f t="array" ref="V129">CalculateBiogenicCarbonUptake('ZERO-B Beregning'!$D$17,'Inndata Bygg'!H132,'Inndata Bygg'!G132,'Inndata Bygg'!L132,F129,AB129,AC129,AD129)</f>
        <v>0</v>
      </c>
      <c r="W129" s="576" cm="1">
        <f t="array" ref="W129">CalculateCementCarbonUptake('ZERO-B Beregning'!$D$17,'Inndata Bygg'!H132,'Inndata Bygg'!G132,'Inndata Bygg'!N132)</f>
        <v>0</v>
      </c>
      <c r="X129" s="331" cm="1">
        <f t="array" ref="X129">IF(SUM(F129:J129,L129)=0, 0, SUM(F129:J129,L129)*(1+'Inndata Bygg'!K132)*IF('Inndata Bygg'!H132&gt;50, 0, _xlfn.XLOOKUP('Inndata Bygg'!H132, År_etter_ferdigstillelse, IF(VALUE(LEFT('Inndata Bygg'!B132, 2))= 49, f_tid_x_f_tek_d_0_037_kumulativ, f_tid_x_f_tek_d_0_01_kumulativ))))</f>
        <v>0</v>
      </c>
      <c r="Y129" s="330">
        <f>IF(X129=0, 0, SUM(K129,M129)*(1+'Inndata Bygg'!K132)*IF('Inndata Bygg'!H132&gt;50, 0, _xlfn.XLOOKUP('Inndata Bygg'!H132, År_etter_ferdigstillelse, f_tid_x_f_tek_d_0_01_kumulativ)))</f>
        <v>0</v>
      </c>
      <c r="Z129" s="336">
        <f>IF(X129=0, 0, SUM(N129:P129)*(1+'Inndata Bygg'!K132)*IF('Inndata Bygg'!H132&gt;50, 0, _xlfn.XLOOKUP('Inndata Bygg'!H132, År_etter_ferdigstillelse, f_tid_x_f_tek_d_0_01_kumulativ)))</f>
        <v>0</v>
      </c>
      <c r="AA129" s="336">
        <f>IF(X129=0, 0, ('Inndata Bygg'!G132+'Inndata Bygg'!O132+'Inndata Bygg'!S132)*(1+'Inndata Bygg'!K132)*Transport_utslipp_til_avfallshånderting_per_kg*IF('Inndata Bygg'!H132&gt;50, 0, _xlfn.XLOOKUP('Inndata Bygg'!H132, År_etter_ferdigstillelse, f_tid_x_f_tek_d_0_01_kumulativ)))</f>
        <v>0</v>
      </c>
      <c r="AB129" s="580" cm="1">
        <f t="array" ref="AB129">CalculateEmissionsFromIncinerationOfWaste('ZERO-B Beregning'!$D$17,'Inndata Bygg'!H132,'Inndata Bygg'!G132,'Inndata Bygg'!X132,'Inndata Bygg'!L132,'Inndata Bygg'!M132,'Inndata Bygg'!B132)</f>
        <v>0</v>
      </c>
      <c r="AC129" s="335">
        <f>IF(('Inndata Bygg'!G132+'Inndata Bygg'!O132+'Inndata Bygg'!S132) = 0, 0,('Inndata Bygg'!G132+'Inndata Bygg'!O132+'Inndata Bygg'!S132)*(('Inndata Bygg'!X132+'Inndata Bygg'!Y132+'Inndata Bygg'!AA132)*Transport_utslipp_til_avfallshånderting_per_kg+('Inndata Bygg'!Z132*'ZERO-B Beregning'!D231/1000)*IF('ZERO-B Beregning'!F232=0,'ZERO-B Beregning'!D232,'ZERO-B Beregning'!F232))*_xlfn.XLOOKUP(51, År_etter_ferdigstillelse, f_tid_x_f_tek_d_0_01))</f>
        <v>0</v>
      </c>
      <c r="AD129" s="577">
        <f>IF(('Inndata Bygg'!G132+'Inndata Bygg'!O132+'Inndata Bygg'!S132) = 0, 0,1.833*('Inndata Bygg'!G132*('Inndata Bygg'!L132*0.5+'Inndata Bygg'!M132*0.8)+'Inndata Bygg'!O132*'Inndata Bygg'!Q132+'Inndata Bygg'!S132*'Inndata Bygg'!U132)*AG129*_xlfn.XLOOKUP(51, År_etter_ferdigstillelse,  f_tid_x_f_tek_d_0_01))</f>
        <v>0</v>
      </c>
      <c r="AE129" s="575" cm="1">
        <f t="array" ref="AE129">CalculateEmissionsReductionFromReuse('ZERO-B Beregning'!$D$17,'Inndata Bygg'!H132,'Inndata Bygg'!G132,'Inndata Bygg'!Z132,'Inndata Bygg'!X132,'Inndata Bygg'!Y132,F129,'Inndata Bygg'!B132)</f>
        <v>0</v>
      </c>
      <c r="AF129" s="333" cm="1">
        <f t="array" ref="AF129">CalculateEmissionReductionFromRecycling('ZERO-B Beregning'!$D$17,'Inndata Bygg'!H132,'Inndata Bygg'!G132,'Inndata Bygg'!AA132,'Inndata Bygg'!X132,'Inndata Bygg'!Y132,F129,'Inndata Bygg'!B132)</f>
        <v>0</v>
      </c>
      <c r="AG129" s="572">
        <f>IF(('Inndata Bygg'!G132+'Inndata Bygg'!O132+'Inndata Bygg'!S132) = 0, 0,'Inndata Bygg'!X132*Faktorer!$Z$58)</f>
        <v>0</v>
      </c>
      <c r="AH129" s="573">
        <f>IF(('Inndata Bygg'!G132+'Inndata Bygg'!O132+'Inndata Bygg'!S132) = 0, 0,'Inndata Bygg'!Z132+('Inndata Bygg'!X132+'Inndata Bygg'!Y132)*(1-Faktorer!$Z$58)*0.5)</f>
        <v>0</v>
      </c>
      <c r="AI129" s="574">
        <f>IF(('Inndata Bygg'!G132+'Inndata Bygg'!O132+'Inndata Bygg'!S132) = 0, 0,'Inndata Bygg'!AA132+('Inndata Bygg'!X132+'Inndata Bygg'!Y132)*(1-Faktorer!$Z$58)*0.5)</f>
        <v>0</v>
      </c>
      <c r="AJ129" s="634"/>
      <c r="AK129" s="90">
        <f t="shared" si="3"/>
        <v>0</v>
      </c>
      <c r="AL129" s="91">
        <f>'Resultater detaljert Bygg'!N129</f>
        <v>0</v>
      </c>
      <c r="AM129" s="91" t="str">
        <f>IF(F129=0,"",('Inndata Bygg'!E132+'Inndata Bygg'!F132)*ROUNDDOWN('Inndata Bygg'!I132,0)*(1+'Inndata Bygg'!K132))</f>
        <v/>
      </c>
    </row>
    <row r="130" spans="2:39">
      <c r="B130" s="339">
        <f>'Inndata Bygg'!B133</f>
        <v>0</v>
      </c>
      <c r="C130" s="340">
        <f>'Inndata Bygg'!C133</f>
        <v>0</v>
      </c>
      <c r="D130" s="341">
        <f>'Inndata Bygg'!D133</f>
        <v>0</v>
      </c>
      <c r="E130" s="421" cm="1">
        <f t="array" ref="E130">SUM(IFERROR(F130:AD130,0))</f>
        <v>0</v>
      </c>
      <c r="F130" s="330">
        <f>'Inndata Bygg'!E133</f>
        <v>0</v>
      </c>
      <c r="G130" s="330">
        <f>IF('Inndata Bygg'!AB133="Ja", -0.8*'Resultater detaljert Bygg'!F130, 0)</f>
        <v>0</v>
      </c>
      <c r="H130" s="330">
        <f>IF('Inndata Bygg'!AC133="Ja", -0.4*'Resultater detaljert Bygg'!$F130, 0)</f>
        <v>0</v>
      </c>
      <c r="I130" s="330">
        <f>IF('Inndata Bygg'!AD133="Ja", -1*'Resultater detaljert Bygg'!$F130, 0)</f>
        <v>0</v>
      </c>
      <c r="J130" s="330">
        <f>'Inndata Bygg'!O133*'Inndata Bygg'!P133</f>
        <v>0</v>
      </c>
      <c r="K130" s="330">
        <f>MAX(-0.75*(SUM('Resultater detaljert Bygg'!F130:J130)),-'Inndata Bygg'!O133*'Inndata Bygg'!Q133)</f>
        <v>0</v>
      </c>
      <c r="L130" s="330">
        <f>'Inndata Bygg'!S133*'Inndata Bygg'!T133</f>
        <v>0</v>
      </c>
      <c r="M130" s="330">
        <f>MAX(-0.75*(SUM('Resultater detaljert Bygg'!F130:I130,L130)),-'Inndata Bygg'!S133*'Inndata Bygg'!U133)</f>
        <v>0</v>
      </c>
      <c r="N130" s="331">
        <f>'Inndata Bygg'!F133</f>
        <v>0</v>
      </c>
      <c r="O130" s="330">
        <f>'Inndata Bygg'!O133*'Inndata Bygg'!R133</f>
        <v>0</v>
      </c>
      <c r="P130" s="332">
        <f>'Inndata Bygg'!S133*'Inndata Bygg'!V133</f>
        <v>0</v>
      </c>
      <c r="Q130" s="493">
        <f>SUM(F130:J130,L130)*'Inndata Bygg'!K133</f>
        <v>0</v>
      </c>
      <c r="R130" s="333">
        <f>(K130+M130)*'Inndata Bygg'!K133</f>
        <v>0</v>
      </c>
      <c r="S130" s="493">
        <f>N130*'Inndata Bygg'!K133</f>
        <v>0</v>
      </c>
      <c r="T130" s="494">
        <f>'Inndata Bygg'!G133*'Inndata Bygg'!K133*Transport_utslipp_til_avfallshånderting_per_kg</f>
        <v>0</v>
      </c>
      <c r="U130" s="330">
        <f>IF('Inndata Bygg'!E133 = 0, 0, 1.833*'Inndata Bygg'!X133*'Inndata Bygg'!K133*('Inndata Bygg'!G133*('Inndata Bygg'!L133*0.5+'Inndata Bygg'!M133*0.8) + (12/44)*('Inndata Bygg'!O133*'Inndata Bygg'!Q133+'Inndata Bygg'!S133*'Inndata Bygg'!U133)))</f>
        <v>0</v>
      </c>
      <c r="V130" s="335" cm="1">
        <f t="array" ref="V130">CalculateBiogenicCarbonUptake('ZERO-B Beregning'!$D$17,'Inndata Bygg'!H133,'Inndata Bygg'!G133,'Inndata Bygg'!L133,F130,AB130,AC130,AD130)</f>
        <v>0</v>
      </c>
      <c r="W130" s="576" cm="1">
        <f t="array" ref="W130">CalculateCementCarbonUptake('ZERO-B Beregning'!$D$17,'Inndata Bygg'!H133,'Inndata Bygg'!G133,'Inndata Bygg'!N133)</f>
        <v>0</v>
      </c>
      <c r="X130" s="331" cm="1">
        <f t="array" ref="X130">IF(SUM(F130:J130,L130)=0, 0, SUM(F130:J130,L130)*(1+'Inndata Bygg'!K133)*IF('Inndata Bygg'!H133&gt;50, 0, _xlfn.XLOOKUP('Inndata Bygg'!H133, År_etter_ferdigstillelse, IF(VALUE(LEFT('Inndata Bygg'!B133, 2))= 49, f_tid_x_f_tek_d_0_037_kumulativ, f_tid_x_f_tek_d_0_01_kumulativ))))</f>
        <v>0</v>
      </c>
      <c r="Y130" s="330">
        <f>IF(X130=0, 0, SUM(K130,M130)*(1+'Inndata Bygg'!K133)*IF('Inndata Bygg'!H133&gt;50, 0, _xlfn.XLOOKUP('Inndata Bygg'!H133, År_etter_ferdigstillelse, f_tid_x_f_tek_d_0_01_kumulativ)))</f>
        <v>0</v>
      </c>
      <c r="Z130" s="336">
        <f>IF(X130=0, 0, SUM(N130:P130)*(1+'Inndata Bygg'!K133)*IF('Inndata Bygg'!H133&gt;50, 0, _xlfn.XLOOKUP('Inndata Bygg'!H133, År_etter_ferdigstillelse, f_tid_x_f_tek_d_0_01_kumulativ)))</f>
        <v>0</v>
      </c>
      <c r="AA130" s="336">
        <f>IF(X130=0, 0, ('Inndata Bygg'!G133+'Inndata Bygg'!O133+'Inndata Bygg'!S133)*(1+'Inndata Bygg'!K133)*Transport_utslipp_til_avfallshånderting_per_kg*IF('Inndata Bygg'!H133&gt;50, 0, _xlfn.XLOOKUP('Inndata Bygg'!H133, År_etter_ferdigstillelse, f_tid_x_f_tek_d_0_01_kumulativ)))</f>
        <v>0</v>
      </c>
      <c r="AB130" s="580" cm="1">
        <f t="array" ref="AB130">CalculateEmissionsFromIncinerationOfWaste('ZERO-B Beregning'!$D$17,'Inndata Bygg'!H133,'Inndata Bygg'!G133,'Inndata Bygg'!X133,'Inndata Bygg'!L133,'Inndata Bygg'!M133,'Inndata Bygg'!B133)</f>
        <v>0</v>
      </c>
      <c r="AC130" s="335">
        <f>IF(('Inndata Bygg'!G133+'Inndata Bygg'!O133+'Inndata Bygg'!S133) = 0, 0,('Inndata Bygg'!G133+'Inndata Bygg'!O133+'Inndata Bygg'!S133)*(('Inndata Bygg'!X133+'Inndata Bygg'!Y133+'Inndata Bygg'!AA133)*Transport_utslipp_til_avfallshånderting_per_kg+('Inndata Bygg'!Z133*'ZERO-B Beregning'!D232/1000)*IF('ZERO-B Beregning'!F233=0,'ZERO-B Beregning'!D233,'ZERO-B Beregning'!F233))*_xlfn.XLOOKUP(51, År_etter_ferdigstillelse, f_tid_x_f_tek_d_0_01))</f>
        <v>0</v>
      </c>
      <c r="AD130" s="577">
        <f>IF(('Inndata Bygg'!G133+'Inndata Bygg'!O133+'Inndata Bygg'!S133) = 0, 0,1.833*('Inndata Bygg'!G133*('Inndata Bygg'!L133*0.5+'Inndata Bygg'!M133*0.8)+'Inndata Bygg'!O133*'Inndata Bygg'!Q133+'Inndata Bygg'!S133*'Inndata Bygg'!U133)*AG130*_xlfn.XLOOKUP(51, År_etter_ferdigstillelse,  f_tid_x_f_tek_d_0_01))</f>
        <v>0</v>
      </c>
      <c r="AE130" s="575" cm="1">
        <f t="array" ref="AE130">CalculateEmissionsReductionFromReuse('ZERO-B Beregning'!$D$17,'Inndata Bygg'!H133,'Inndata Bygg'!G133,'Inndata Bygg'!Z133,'Inndata Bygg'!X133,'Inndata Bygg'!Y133,F130,'Inndata Bygg'!B133)</f>
        <v>0</v>
      </c>
      <c r="AF130" s="333" cm="1">
        <f t="array" ref="AF130">CalculateEmissionReductionFromRecycling('ZERO-B Beregning'!$D$17,'Inndata Bygg'!H133,'Inndata Bygg'!G133,'Inndata Bygg'!AA133,'Inndata Bygg'!X133,'Inndata Bygg'!Y133,F130,'Inndata Bygg'!B133)</f>
        <v>0</v>
      </c>
      <c r="AG130" s="572">
        <f>IF(('Inndata Bygg'!G133+'Inndata Bygg'!O133+'Inndata Bygg'!S133) = 0, 0,'Inndata Bygg'!X133*Faktorer!$Z$58)</f>
        <v>0</v>
      </c>
      <c r="AH130" s="573">
        <f>IF(('Inndata Bygg'!G133+'Inndata Bygg'!O133+'Inndata Bygg'!S133) = 0, 0,'Inndata Bygg'!Z133+('Inndata Bygg'!X133+'Inndata Bygg'!Y133)*(1-Faktorer!$Z$58)*0.5)</f>
        <v>0</v>
      </c>
      <c r="AI130" s="574">
        <f>IF(('Inndata Bygg'!G133+'Inndata Bygg'!O133+'Inndata Bygg'!S133) = 0, 0,'Inndata Bygg'!AA133+('Inndata Bygg'!X133+'Inndata Bygg'!Y133)*(1-Faktorer!$Z$58)*0.5)</f>
        <v>0</v>
      </c>
      <c r="AJ130" s="634"/>
      <c r="AK130" s="90">
        <f t="shared" si="3"/>
        <v>0</v>
      </c>
      <c r="AL130" s="91">
        <f>'Resultater detaljert Bygg'!N130</f>
        <v>0</v>
      </c>
      <c r="AM130" s="91" t="str">
        <f>IF(F130=0,"",('Inndata Bygg'!E133+'Inndata Bygg'!F133)*ROUNDDOWN('Inndata Bygg'!I133,0)*(1+'Inndata Bygg'!K133))</f>
        <v/>
      </c>
    </row>
    <row r="131" spans="2:39">
      <c r="B131" s="339">
        <f>'Inndata Bygg'!B134</f>
        <v>0</v>
      </c>
      <c r="C131" s="340">
        <f>'Inndata Bygg'!C134</f>
        <v>0</v>
      </c>
      <c r="D131" s="341">
        <f>'Inndata Bygg'!D134</f>
        <v>0</v>
      </c>
      <c r="E131" s="421" cm="1">
        <f t="array" ref="E131">SUM(IFERROR(F131:AD131,0))</f>
        <v>0</v>
      </c>
      <c r="F131" s="330">
        <f>'Inndata Bygg'!E134</f>
        <v>0</v>
      </c>
      <c r="G131" s="330">
        <f>IF('Inndata Bygg'!AB134="Ja", -0.8*'Resultater detaljert Bygg'!F131, 0)</f>
        <v>0</v>
      </c>
      <c r="H131" s="330">
        <f>IF('Inndata Bygg'!AC134="Ja", -0.4*'Resultater detaljert Bygg'!$F131, 0)</f>
        <v>0</v>
      </c>
      <c r="I131" s="330">
        <f>IF('Inndata Bygg'!AD134="Ja", -1*'Resultater detaljert Bygg'!$F131, 0)</f>
        <v>0</v>
      </c>
      <c r="J131" s="330">
        <f>'Inndata Bygg'!O134*'Inndata Bygg'!P134</f>
        <v>0</v>
      </c>
      <c r="K131" s="330">
        <f>MAX(-0.75*(SUM('Resultater detaljert Bygg'!F131:J131)),-'Inndata Bygg'!O134*'Inndata Bygg'!Q134)</f>
        <v>0</v>
      </c>
      <c r="L131" s="330">
        <f>'Inndata Bygg'!S134*'Inndata Bygg'!T134</f>
        <v>0</v>
      </c>
      <c r="M131" s="330">
        <f>MAX(-0.75*(SUM('Resultater detaljert Bygg'!F131:I131,L131)),-'Inndata Bygg'!S134*'Inndata Bygg'!U134)</f>
        <v>0</v>
      </c>
      <c r="N131" s="331">
        <f>'Inndata Bygg'!F134</f>
        <v>0</v>
      </c>
      <c r="O131" s="330">
        <f>'Inndata Bygg'!O134*'Inndata Bygg'!R134</f>
        <v>0</v>
      </c>
      <c r="P131" s="332">
        <f>'Inndata Bygg'!S134*'Inndata Bygg'!V134</f>
        <v>0</v>
      </c>
      <c r="Q131" s="493">
        <f>SUM(F131:J131,L131)*'Inndata Bygg'!K134</f>
        <v>0</v>
      </c>
      <c r="R131" s="333">
        <f>(K131+M131)*'Inndata Bygg'!K134</f>
        <v>0</v>
      </c>
      <c r="S131" s="493">
        <f>N131*'Inndata Bygg'!K134</f>
        <v>0</v>
      </c>
      <c r="T131" s="494">
        <f>'Inndata Bygg'!G134*'Inndata Bygg'!K134*Transport_utslipp_til_avfallshånderting_per_kg</f>
        <v>0</v>
      </c>
      <c r="U131" s="330">
        <f>IF('Inndata Bygg'!E134 = 0, 0, 1.833*'Inndata Bygg'!X134*'Inndata Bygg'!K134*('Inndata Bygg'!G134*('Inndata Bygg'!L134*0.5+'Inndata Bygg'!M134*0.8) + (12/44)*('Inndata Bygg'!O134*'Inndata Bygg'!Q134+'Inndata Bygg'!S134*'Inndata Bygg'!U134)))</f>
        <v>0</v>
      </c>
      <c r="V131" s="335" cm="1">
        <f t="array" ref="V131">CalculateBiogenicCarbonUptake('ZERO-B Beregning'!$D$17,'Inndata Bygg'!H134,'Inndata Bygg'!G134,'Inndata Bygg'!L134,F131,AB131,AC131,AD131)</f>
        <v>0</v>
      </c>
      <c r="W131" s="576" cm="1">
        <f t="array" ref="W131">CalculateCementCarbonUptake('ZERO-B Beregning'!$D$17,'Inndata Bygg'!H134,'Inndata Bygg'!G134,'Inndata Bygg'!N134)</f>
        <v>0</v>
      </c>
      <c r="X131" s="331" cm="1">
        <f t="array" ref="X131">IF(SUM(F131:J131,L131)=0, 0, SUM(F131:J131,L131)*(1+'Inndata Bygg'!K134)*IF('Inndata Bygg'!H134&gt;50, 0, _xlfn.XLOOKUP('Inndata Bygg'!H134, År_etter_ferdigstillelse, IF(VALUE(LEFT('Inndata Bygg'!B134, 2))= 49, f_tid_x_f_tek_d_0_037_kumulativ, f_tid_x_f_tek_d_0_01_kumulativ))))</f>
        <v>0</v>
      </c>
      <c r="Y131" s="330">
        <f>IF(X131=0, 0, SUM(K131,M131)*(1+'Inndata Bygg'!K134)*IF('Inndata Bygg'!H134&gt;50, 0, _xlfn.XLOOKUP('Inndata Bygg'!H134, År_etter_ferdigstillelse, f_tid_x_f_tek_d_0_01_kumulativ)))</f>
        <v>0</v>
      </c>
      <c r="Z131" s="336">
        <f>IF(X131=0, 0, SUM(N131:P131)*(1+'Inndata Bygg'!K134)*IF('Inndata Bygg'!H134&gt;50, 0, _xlfn.XLOOKUP('Inndata Bygg'!H134, År_etter_ferdigstillelse, f_tid_x_f_tek_d_0_01_kumulativ)))</f>
        <v>0</v>
      </c>
      <c r="AA131" s="336">
        <f>IF(X131=0, 0, ('Inndata Bygg'!G134+'Inndata Bygg'!O134+'Inndata Bygg'!S134)*(1+'Inndata Bygg'!K134)*Transport_utslipp_til_avfallshånderting_per_kg*IF('Inndata Bygg'!H134&gt;50, 0, _xlfn.XLOOKUP('Inndata Bygg'!H134, År_etter_ferdigstillelse, f_tid_x_f_tek_d_0_01_kumulativ)))</f>
        <v>0</v>
      </c>
      <c r="AB131" s="580" cm="1">
        <f t="array" ref="AB131">CalculateEmissionsFromIncinerationOfWaste('ZERO-B Beregning'!$D$17,'Inndata Bygg'!H134,'Inndata Bygg'!G134,'Inndata Bygg'!X134,'Inndata Bygg'!L134,'Inndata Bygg'!M134,'Inndata Bygg'!B134)</f>
        <v>0</v>
      </c>
      <c r="AC131" s="335">
        <f>IF(('Inndata Bygg'!G134+'Inndata Bygg'!O134+'Inndata Bygg'!S134) = 0, 0,('Inndata Bygg'!G134+'Inndata Bygg'!O134+'Inndata Bygg'!S134)*(('Inndata Bygg'!X134+'Inndata Bygg'!Y134+'Inndata Bygg'!AA134)*Transport_utslipp_til_avfallshånderting_per_kg+('Inndata Bygg'!Z134*'ZERO-B Beregning'!D233/1000)*IF('ZERO-B Beregning'!F234=0,'ZERO-B Beregning'!D234,'ZERO-B Beregning'!F234))*_xlfn.XLOOKUP(51, År_etter_ferdigstillelse, f_tid_x_f_tek_d_0_01))</f>
        <v>0</v>
      </c>
      <c r="AD131" s="577">
        <f>IF(('Inndata Bygg'!G134+'Inndata Bygg'!O134+'Inndata Bygg'!S134) = 0, 0,1.833*('Inndata Bygg'!G134*('Inndata Bygg'!L134*0.5+'Inndata Bygg'!M134*0.8)+'Inndata Bygg'!O134*'Inndata Bygg'!Q134+'Inndata Bygg'!S134*'Inndata Bygg'!U134)*AG131*_xlfn.XLOOKUP(51, År_etter_ferdigstillelse,  f_tid_x_f_tek_d_0_01))</f>
        <v>0</v>
      </c>
      <c r="AE131" s="575" cm="1">
        <f t="array" ref="AE131">CalculateEmissionsReductionFromReuse('ZERO-B Beregning'!$D$17,'Inndata Bygg'!H134,'Inndata Bygg'!G134,'Inndata Bygg'!Z134,'Inndata Bygg'!X134,'Inndata Bygg'!Y134,F131,'Inndata Bygg'!B134)</f>
        <v>0</v>
      </c>
      <c r="AF131" s="333" cm="1">
        <f t="array" ref="AF131">CalculateEmissionReductionFromRecycling('ZERO-B Beregning'!$D$17,'Inndata Bygg'!H134,'Inndata Bygg'!G134,'Inndata Bygg'!AA134,'Inndata Bygg'!X134,'Inndata Bygg'!Y134,F131,'Inndata Bygg'!B134)</f>
        <v>0</v>
      </c>
      <c r="AG131" s="572">
        <f>IF(('Inndata Bygg'!G134+'Inndata Bygg'!O134+'Inndata Bygg'!S134) = 0, 0,'Inndata Bygg'!X134*Faktorer!$Z$58)</f>
        <v>0</v>
      </c>
      <c r="AH131" s="573">
        <f>IF(('Inndata Bygg'!G134+'Inndata Bygg'!O134+'Inndata Bygg'!S134) = 0, 0,'Inndata Bygg'!Z134+('Inndata Bygg'!X134+'Inndata Bygg'!Y134)*(1-Faktorer!$Z$58)*0.5)</f>
        <v>0</v>
      </c>
      <c r="AI131" s="574">
        <f>IF(('Inndata Bygg'!G134+'Inndata Bygg'!O134+'Inndata Bygg'!S134) = 0, 0,'Inndata Bygg'!AA134+('Inndata Bygg'!X134+'Inndata Bygg'!Y134)*(1-Faktorer!$Z$58)*0.5)</f>
        <v>0</v>
      </c>
      <c r="AJ131" s="634"/>
      <c r="AK131" s="90">
        <f t="shared" si="3"/>
        <v>0</v>
      </c>
      <c r="AL131" s="91">
        <f>'Resultater detaljert Bygg'!N131</f>
        <v>0</v>
      </c>
      <c r="AM131" s="91" t="str">
        <f>IF(F131=0,"",('Inndata Bygg'!E134+'Inndata Bygg'!F134)*ROUNDDOWN('Inndata Bygg'!I134,0)*(1+'Inndata Bygg'!K134))</f>
        <v/>
      </c>
    </row>
    <row r="132" spans="2:39">
      <c r="B132" s="339">
        <f>'Inndata Bygg'!B135</f>
        <v>0</v>
      </c>
      <c r="C132" s="340">
        <f>'Inndata Bygg'!C135</f>
        <v>0</v>
      </c>
      <c r="D132" s="341">
        <f>'Inndata Bygg'!D135</f>
        <v>0</v>
      </c>
      <c r="E132" s="421" cm="1">
        <f t="array" ref="E132">SUM(IFERROR(F132:AD132,0))</f>
        <v>0</v>
      </c>
      <c r="F132" s="330">
        <f>'Inndata Bygg'!E135</f>
        <v>0</v>
      </c>
      <c r="G132" s="330">
        <f>IF('Inndata Bygg'!AB135="Ja", -0.8*'Resultater detaljert Bygg'!F132, 0)</f>
        <v>0</v>
      </c>
      <c r="H132" s="330">
        <f>IF('Inndata Bygg'!AC135="Ja", -0.4*'Resultater detaljert Bygg'!$F132, 0)</f>
        <v>0</v>
      </c>
      <c r="I132" s="330">
        <f>IF('Inndata Bygg'!AD135="Ja", -1*'Resultater detaljert Bygg'!$F132, 0)</f>
        <v>0</v>
      </c>
      <c r="J132" s="330">
        <f>'Inndata Bygg'!O135*'Inndata Bygg'!P135</f>
        <v>0</v>
      </c>
      <c r="K132" s="330">
        <f>MAX(-0.75*(SUM('Resultater detaljert Bygg'!F132:J132)),-'Inndata Bygg'!O135*'Inndata Bygg'!Q135)</f>
        <v>0</v>
      </c>
      <c r="L132" s="330">
        <f>'Inndata Bygg'!S135*'Inndata Bygg'!T135</f>
        <v>0</v>
      </c>
      <c r="M132" s="330">
        <f>MAX(-0.75*(SUM('Resultater detaljert Bygg'!F132:I132,L132)),-'Inndata Bygg'!S135*'Inndata Bygg'!U135)</f>
        <v>0</v>
      </c>
      <c r="N132" s="331">
        <f>'Inndata Bygg'!F135</f>
        <v>0</v>
      </c>
      <c r="O132" s="330">
        <f>'Inndata Bygg'!O135*'Inndata Bygg'!R135</f>
        <v>0</v>
      </c>
      <c r="P132" s="332">
        <f>'Inndata Bygg'!S135*'Inndata Bygg'!V135</f>
        <v>0</v>
      </c>
      <c r="Q132" s="493">
        <f>SUM(F132:J132,L132)*'Inndata Bygg'!K135</f>
        <v>0</v>
      </c>
      <c r="R132" s="333">
        <f>(K132+M132)*'Inndata Bygg'!K135</f>
        <v>0</v>
      </c>
      <c r="S132" s="493">
        <f>N132*'Inndata Bygg'!K135</f>
        <v>0</v>
      </c>
      <c r="T132" s="494">
        <f>'Inndata Bygg'!G135*'Inndata Bygg'!K135*Transport_utslipp_til_avfallshånderting_per_kg</f>
        <v>0</v>
      </c>
      <c r="U132" s="330">
        <f>IF('Inndata Bygg'!E135 = 0, 0, 1.833*'Inndata Bygg'!X135*'Inndata Bygg'!K135*('Inndata Bygg'!G135*('Inndata Bygg'!L135*0.5+'Inndata Bygg'!M135*0.8) + (12/44)*('Inndata Bygg'!O135*'Inndata Bygg'!Q135+'Inndata Bygg'!S135*'Inndata Bygg'!U135)))</f>
        <v>0</v>
      </c>
      <c r="V132" s="335" cm="1">
        <f t="array" ref="V132">CalculateBiogenicCarbonUptake('ZERO-B Beregning'!$D$17,'Inndata Bygg'!H135,'Inndata Bygg'!G135,'Inndata Bygg'!L135,F132,AB132,AC132,AD132)</f>
        <v>0</v>
      </c>
      <c r="W132" s="576" cm="1">
        <f t="array" ref="W132">CalculateCementCarbonUptake('ZERO-B Beregning'!$D$17,'Inndata Bygg'!H135,'Inndata Bygg'!G135,'Inndata Bygg'!N135)</f>
        <v>0</v>
      </c>
      <c r="X132" s="331" cm="1">
        <f t="array" ref="X132">IF(SUM(F132:J132,L132)=0, 0, SUM(F132:J132,L132)*(1+'Inndata Bygg'!K135)*IF('Inndata Bygg'!H135&gt;50, 0, _xlfn.XLOOKUP('Inndata Bygg'!H135, År_etter_ferdigstillelse, IF(VALUE(LEFT('Inndata Bygg'!B135, 2))= 49, f_tid_x_f_tek_d_0_037_kumulativ, f_tid_x_f_tek_d_0_01_kumulativ))))</f>
        <v>0</v>
      </c>
      <c r="Y132" s="330">
        <f>IF(X132=0, 0, SUM(K132,M132)*(1+'Inndata Bygg'!K135)*IF('Inndata Bygg'!H135&gt;50, 0, _xlfn.XLOOKUP('Inndata Bygg'!H135, År_etter_ferdigstillelse, f_tid_x_f_tek_d_0_01_kumulativ)))</f>
        <v>0</v>
      </c>
      <c r="Z132" s="336">
        <f>IF(X132=0, 0, SUM(N132:P132)*(1+'Inndata Bygg'!K135)*IF('Inndata Bygg'!H135&gt;50, 0, _xlfn.XLOOKUP('Inndata Bygg'!H135, År_etter_ferdigstillelse, f_tid_x_f_tek_d_0_01_kumulativ)))</f>
        <v>0</v>
      </c>
      <c r="AA132" s="336">
        <f>IF(X132=0, 0, ('Inndata Bygg'!G135+'Inndata Bygg'!O135+'Inndata Bygg'!S135)*(1+'Inndata Bygg'!K135)*Transport_utslipp_til_avfallshånderting_per_kg*IF('Inndata Bygg'!H135&gt;50, 0, _xlfn.XLOOKUP('Inndata Bygg'!H135, År_etter_ferdigstillelse, f_tid_x_f_tek_d_0_01_kumulativ)))</f>
        <v>0</v>
      </c>
      <c r="AB132" s="580" cm="1">
        <f t="array" ref="AB132">CalculateEmissionsFromIncinerationOfWaste('ZERO-B Beregning'!$D$17,'Inndata Bygg'!H135,'Inndata Bygg'!G135,'Inndata Bygg'!X135,'Inndata Bygg'!L135,'Inndata Bygg'!M135,'Inndata Bygg'!B135)</f>
        <v>0</v>
      </c>
      <c r="AC132" s="335">
        <f>IF(('Inndata Bygg'!G135+'Inndata Bygg'!O135+'Inndata Bygg'!S135) = 0, 0,('Inndata Bygg'!G135+'Inndata Bygg'!O135+'Inndata Bygg'!S135)*(('Inndata Bygg'!X135+'Inndata Bygg'!Y135+'Inndata Bygg'!AA135)*Transport_utslipp_til_avfallshånderting_per_kg+('Inndata Bygg'!Z135*'ZERO-B Beregning'!D234/1000)*IF('ZERO-B Beregning'!F235=0,'ZERO-B Beregning'!D235,'ZERO-B Beregning'!F235))*_xlfn.XLOOKUP(51, År_etter_ferdigstillelse, f_tid_x_f_tek_d_0_01))</f>
        <v>0</v>
      </c>
      <c r="AD132" s="577">
        <f>IF(('Inndata Bygg'!G135+'Inndata Bygg'!O135+'Inndata Bygg'!S135) = 0, 0,1.833*('Inndata Bygg'!G135*('Inndata Bygg'!L135*0.5+'Inndata Bygg'!M135*0.8)+'Inndata Bygg'!O135*'Inndata Bygg'!Q135+'Inndata Bygg'!S135*'Inndata Bygg'!U135)*AG132*_xlfn.XLOOKUP(51, År_etter_ferdigstillelse,  f_tid_x_f_tek_d_0_01))</f>
        <v>0</v>
      </c>
      <c r="AE132" s="575" cm="1">
        <f t="array" ref="AE132">CalculateEmissionsReductionFromReuse('ZERO-B Beregning'!$D$17,'Inndata Bygg'!H135,'Inndata Bygg'!G135,'Inndata Bygg'!Z135,'Inndata Bygg'!X135,'Inndata Bygg'!Y135,F132,'Inndata Bygg'!B135)</f>
        <v>0</v>
      </c>
      <c r="AF132" s="333" cm="1">
        <f t="array" ref="AF132">CalculateEmissionReductionFromRecycling('ZERO-B Beregning'!$D$17,'Inndata Bygg'!H135,'Inndata Bygg'!G135,'Inndata Bygg'!AA135,'Inndata Bygg'!X135,'Inndata Bygg'!Y135,F132,'Inndata Bygg'!B135)</f>
        <v>0</v>
      </c>
      <c r="AG132" s="572">
        <f>IF(('Inndata Bygg'!G135+'Inndata Bygg'!O135+'Inndata Bygg'!S135) = 0, 0,'Inndata Bygg'!X135*Faktorer!$Z$58)</f>
        <v>0</v>
      </c>
      <c r="AH132" s="573">
        <f>IF(('Inndata Bygg'!G135+'Inndata Bygg'!O135+'Inndata Bygg'!S135) = 0, 0,'Inndata Bygg'!Z135+('Inndata Bygg'!X135+'Inndata Bygg'!Y135)*(1-Faktorer!$Z$58)*0.5)</f>
        <v>0</v>
      </c>
      <c r="AI132" s="574">
        <f>IF(('Inndata Bygg'!G135+'Inndata Bygg'!O135+'Inndata Bygg'!S135) = 0, 0,'Inndata Bygg'!AA135+('Inndata Bygg'!X135+'Inndata Bygg'!Y135)*(1-Faktorer!$Z$58)*0.5)</f>
        <v>0</v>
      </c>
      <c r="AJ132" s="634"/>
      <c r="AK132" s="90">
        <f t="shared" si="3"/>
        <v>0</v>
      </c>
      <c r="AL132" s="91">
        <f>'Resultater detaljert Bygg'!N132</f>
        <v>0</v>
      </c>
      <c r="AM132" s="91" t="str">
        <f>IF(F132=0,"",('Inndata Bygg'!E135+'Inndata Bygg'!F135)*ROUNDDOWN('Inndata Bygg'!I135,0)*(1+'Inndata Bygg'!K135))</f>
        <v/>
      </c>
    </row>
    <row r="133" spans="2:39">
      <c r="B133" s="339">
        <f>'Inndata Bygg'!B136</f>
        <v>0</v>
      </c>
      <c r="C133" s="340">
        <f>'Inndata Bygg'!C136</f>
        <v>0</v>
      </c>
      <c r="D133" s="341">
        <f>'Inndata Bygg'!D136</f>
        <v>0</v>
      </c>
      <c r="E133" s="421" cm="1">
        <f t="array" ref="E133">SUM(IFERROR(F133:AD133,0))</f>
        <v>0</v>
      </c>
      <c r="F133" s="330">
        <f>'Inndata Bygg'!E136</f>
        <v>0</v>
      </c>
      <c r="G133" s="330">
        <f>IF('Inndata Bygg'!AB136="Ja", -0.8*'Resultater detaljert Bygg'!F133, 0)</f>
        <v>0</v>
      </c>
      <c r="H133" s="330">
        <f>IF('Inndata Bygg'!AC136="Ja", -0.4*'Resultater detaljert Bygg'!$F133, 0)</f>
        <v>0</v>
      </c>
      <c r="I133" s="330">
        <f>IF('Inndata Bygg'!AD136="Ja", -1*'Resultater detaljert Bygg'!$F133, 0)</f>
        <v>0</v>
      </c>
      <c r="J133" s="330">
        <f>'Inndata Bygg'!O136*'Inndata Bygg'!P136</f>
        <v>0</v>
      </c>
      <c r="K133" s="330">
        <f>MAX(-0.75*(SUM('Resultater detaljert Bygg'!F133:J133)),-'Inndata Bygg'!O136*'Inndata Bygg'!Q136)</f>
        <v>0</v>
      </c>
      <c r="L133" s="330">
        <f>'Inndata Bygg'!S136*'Inndata Bygg'!T136</f>
        <v>0</v>
      </c>
      <c r="M133" s="330">
        <f>MAX(-0.75*(SUM('Resultater detaljert Bygg'!F133:I133,L133)),-'Inndata Bygg'!S136*'Inndata Bygg'!U136)</f>
        <v>0</v>
      </c>
      <c r="N133" s="331">
        <f>'Inndata Bygg'!F136</f>
        <v>0</v>
      </c>
      <c r="O133" s="330">
        <f>'Inndata Bygg'!O136*'Inndata Bygg'!R136</f>
        <v>0</v>
      </c>
      <c r="P133" s="332">
        <f>'Inndata Bygg'!S136*'Inndata Bygg'!V136</f>
        <v>0</v>
      </c>
      <c r="Q133" s="493">
        <f>SUM(F133:J133,L133)*'Inndata Bygg'!K136</f>
        <v>0</v>
      </c>
      <c r="R133" s="333">
        <f>(K133+M133)*'Inndata Bygg'!K136</f>
        <v>0</v>
      </c>
      <c r="S133" s="493">
        <f>N133*'Inndata Bygg'!K136</f>
        <v>0</v>
      </c>
      <c r="T133" s="494">
        <f>'Inndata Bygg'!G136*'Inndata Bygg'!K136*Transport_utslipp_til_avfallshånderting_per_kg</f>
        <v>0</v>
      </c>
      <c r="U133" s="330">
        <f>IF('Inndata Bygg'!E136 = 0, 0, 1.833*'Inndata Bygg'!X136*'Inndata Bygg'!K136*('Inndata Bygg'!G136*('Inndata Bygg'!L136*0.5+'Inndata Bygg'!M136*0.8) + (12/44)*('Inndata Bygg'!O136*'Inndata Bygg'!Q136+'Inndata Bygg'!S136*'Inndata Bygg'!U136)))</f>
        <v>0</v>
      </c>
      <c r="V133" s="335" cm="1">
        <f t="array" ref="V133">CalculateBiogenicCarbonUptake('ZERO-B Beregning'!$D$17,'Inndata Bygg'!H136,'Inndata Bygg'!G136,'Inndata Bygg'!L136,F133,AB133,AC133,AD133)</f>
        <v>0</v>
      </c>
      <c r="W133" s="576" cm="1">
        <f t="array" ref="W133">CalculateCementCarbonUptake('ZERO-B Beregning'!$D$17,'Inndata Bygg'!H136,'Inndata Bygg'!G136,'Inndata Bygg'!N136)</f>
        <v>0</v>
      </c>
      <c r="X133" s="331" cm="1">
        <f t="array" ref="X133">IF(SUM(F133:J133,L133)=0, 0, SUM(F133:J133,L133)*(1+'Inndata Bygg'!K136)*IF('Inndata Bygg'!H136&gt;50, 0, _xlfn.XLOOKUP('Inndata Bygg'!H136, År_etter_ferdigstillelse, IF(VALUE(LEFT('Inndata Bygg'!B136, 2))= 49, f_tid_x_f_tek_d_0_037_kumulativ, f_tid_x_f_tek_d_0_01_kumulativ))))</f>
        <v>0</v>
      </c>
      <c r="Y133" s="330">
        <f>IF(X133=0, 0, SUM(K133,M133)*(1+'Inndata Bygg'!K136)*IF('Inndata Bygg'!H136&gt;50, 0, _xlfn.XLOOKUP('Inndata Bygg'!H136, År_etter_ferdigstillelse, f_tid_x_f_tek_d_0_01_kumulativ)))</f>
        <v>0</v>
      </c>
      <c r="Z133" s="336">
        <f>IF(X133=0, 0, SUM(N133:P133)*(1+'Inndata Bygg'!K136)*IF('Inndata Bygg'!H136&gt;50, 0, _xlfn.XLOOKUP('Inndata Bygg'!H136, År_etter_ferdigstillelse, f_tid_x_f_tek_d_0_01_kumulativ)))</f>
        <v>0</v>
      </c>
      <c r="AA133" s="336">
        <f>IF(X133=0, 0, ('Inndata Bygg'!G136+'Inndata Bygg'!O136+'Inndata Bygg'!S136)*(1+'Inndata Bygg'!K136)*Transport_utslipp_til_avfallshånderting_per_kg*IF('Inndata Bygg'!H136&gt;50, 0, _xlfn.XLOOKUP('Inndata Bygg'!H136, År_etter_ferdigstillelse, f_tid_x_f_tek_d_0_01_kumulativ)))</f>
        <v>0</v>
      </c>
      <c r="AB133" s="580" cm="1">
        <f t="array" ref="AB133">CalculateEmissionsFromIncinerationOfWaste('ZERO-B Beregning'!$D$17,'Inndata Bygg'!H136,'Inndata Bygg'!G136,'Inndata Bygg'!X136,'Inndata Bygg'!L136,'Inndata Bygg'!M136,'Inndata Bygg'!B136)</f>
        <v>0</v>
      </c>
      <c r="AC133" s="335">
        <f>IF(('Inndata Bygg'!G136+'Inndata Bygg'!O136+'Inndata Bygg'!S136) = 0, 0,('Inndata Bygg'!G136+'Inndata Bygg'!O136+'Inndata Bygg'!S136)*(('Inndata Bygg'!X136+'Inndata Bygg'!Y136+'Inndata Bygg'!AA136)*Transport_utslipp_til_avfallshånderting_per_kg+('Inndata Bygg'!Z136*'ZERO-B Beregning'!D235/1000)*IF('ZERO-B Beregning'!F236=0,'ZERO-B Beregning'!D236,'ZERO-B Beregning'!F236))*_xlfn.XLOOKUP(51, År_etter_ferdigstillelse, f_tid_x_f_tek_d_0_01))</f>
        <v>0</v>
      </c>
      <c r="AD133" s="577">
        <f>IF(('Inndata Bygg'!G136+'Inndata Bygg'!O136+'Inndata Bygg'!S136) = 0, 0,1.833*('Inndata Bygg'!G136*('Inndata Bygg'!L136*0.5+'Inndata Bygg'!M136*0.8)+'Inndata Bygg'!O136*'Inndata Bygg'!Q136+'Inndata Bygg'!S136*'Inndata Bygg'!U136)*AG133*_xlfn.XLOOKUP(51, År_etter_ferdigstillelse,  f_tid_x_f_tek_d_0_01))</f>
        <v>0</v>
      </c>
      <c r="AE133" s="575" cm="1">
        <f t="array" ref="AE133">CalculateEmissionsReductionFromReuse('ZERO-B Beregning'!$D$17,'Inndata Bygg'!H136,'Inndata Bygg'!G136,'Inndata Bygg'!Z136,'Inndata Bygg'!X136,'Inndata Bygg'!Y136,F133,'Inndata Bygg'!B136)</f>
        <v>0</v>
      </c>
      <c r="AF133" s="333" cm="1">
        <f t="array" ref="AF133">CalculateEmissionReductionFromRecycling('ZERO-B Beregning'!$D$17,'Inndata Bygg'!H136,'Inndata Bygg'!G136,'Inndata Bygg'!AA136,'Inndata Bygg'!X136,'Inndata Bygg'!Y136,F133,'Inndata Bygg'!B136)</f>
        <v>0</v>
      </c>
      <c r="AG133" s="572">
        <f>IF(('Inndata Bygg'!G136+'Inndata Bygg'!O136+'Inndata Bygg'!S136) = 0, 0,'Inndata Bygg'!X136*Faktorer!$Z$58)</f>
        <v>0</v>
      </c>
      <c r="AH133" s="573">
        <f>IF(('Inndata Bygg'!G136+'Inndata Bygg'!O136+'Inndata Bygg'!S136) = 0, 0,'Inndata Bygg'!Z136+('Inndata Bygg'!X136+'Inndata Bygg'!Y136)*(1-Faktorer!$Z$58)*0.5)</f>
        <v>0</v>
      </c>
      <c r="AI133" s="574">
        <f>IF(('Inndata Bygg'!G136+'Inndata Bygg'!O136+'Inndata Bygg'!S136) = 0, 0,'Inndata Bygg'!AA136+('Inndata Bygg'!X136+'Inndata Bygg'!Y136)*(1-Faktorer!$Z$58)*0.5)</f>
        <v>0</v>
      </c>
      <c r="AJ133" s="634"/>
      <c r="AK133" s="90">
        <f t="shared" si="3"/>
        <v>0</v>
      </c>
      <c r="AL133" s="91">
        <f>'Resultater detaljert Bygg'!N133</f>
        <v>0</v>
      </c>
      <c r="AM133" s="91" t="str">
        <f>IF(F133=0,"",('Inndata Bygg'!E136+'Inndata Bygg'!F136)*ROUNDDOWN('Inndata Bygg'!I136,0)*(1+'Inndata Bygg'!K136))</f>
        <v/>
      </c>
    </row>
    <row r="134" spans="2:39">
      <c r="B134" s="339">
        <f>'Inndata Bygg'!B137</f>
        <v>0</v>
      </c>
      <c r="C134" s="340">
        <f>'Inndata Bygg'!C137</f>
        <v>0</v>
      </c>
      <c r="D134" s="341">
        <f>'Inndata Bygg'!D137</f>
        <v>0</v>
      </c>
      <c r="E134" s="421" cm="1">
        <f t="array" ref="E134">SUM(IFERROR(F134:AD134,0))</f>
        <v>0</v>
      </c>
      <c r="F134" s="330">
        <f>'Inndata Bygg'!E137</f>
        <v>0</v>
      </c>
      <c r="G134" s="330">
        <f>IF('Inndata Bygg'!AB137="Ja", -0.8*'Resultater detaljert Bygg'!F134, 0)</f>
        <v>0</v>
      </c>
      <c r="H134" s="330">
        <f>IF('Inndata Bygg'!AC137="Ja", -0.4*'Resultater detaljert Bygg'!$F134, 0)</f>
        <v>0</v>
      </c>
      <c r="I134" s="330">
        <f>IF('Inndata Bygg'!AD137="Ja", -1*'Resultater detaljert Bygg'!$F134, 0)</f>
        <v>0</v>
      </c>
      <c r="J134" s="330">
        <f>'Inndata Bygg'!O137*'Inndata Bygg'!P137</f>
        <v>0</v>
      </c>
      <c r="K134" s="330">
        <f>MAX(-0.75*(SUM('Resultater detaljert Bygg'!F134:J134)),-'Inndata Bygg'!O137*'Inndata Bygg'!Q137)</f>
        <v>0</v>
      </c>
      <c r="L134" s="330">
        <f>'Inndata Bygg'!S137*'Inndata Bygg'!T137</f>
        <v>0</v>
      </c>
      <c r="M134" s="330">
        <f>MAX(-0.75*(SUM('Resultater detaljert Bygg'!F134:I134,L134)),-'Inndata Bygg'!S137*'Inndata Bygg'!U137)</f>
        <v>0</v>
      </c>
      <c r="N134" s="331">
        <f>'Inndata Bygg'!F137</f>
        <v>0</v>
      </c>
      <c r="O134" s="330">
        <f>'Inndata Bygg'!O137*'Inndata Bygg'!R137</f>
        <v>0</v>
      </c>
      <c r="P134" s="332">
        <f>'Inndata Bygg'!S137*'Inndata Bygg'!V137</f>
        <v>0</v>
      </c>
      <c r="Q134" s="493">
        <f>SUM(F134:J134,L134)*'Inndata Bygg'!K137</f>
        <v>0</v>
      </c>
      <c r="R134" s="333">
        <f>(K134+M134)*'Inndata Bygg'!K137</f>
        <v>0</v>
      </c>
      <c r="S134" s="493">
        <f>N134*'Inndata Bygg'!K137</f>
        <v>0</v>
      </c>
      <c r="T134" s="494">
        <f>'Inndata Bygg'!G137*'Inndata Bygg'!K137*Transport_utslipp_til_avfallshånderting_per_kg</f>
        <v>0</v>
      </c>
      <c r="U134" s="330">
        <f>IF('Inndata Bygg'!E137 = 0, 0, 1.833*'Inndata Bygg'!X137*'Inndata Bygg'!K137*('Inndata Bygg'!G137*('Inndata Bygg'!L137*0.5+'Inndata Bygg'!M137*0.8) + (12/44)*('Inndata Bygg'!O137*'Inndata Bygg'!Q137+'Inndata Bygg'!S137*'Inndata Bygg'!U137)))</f>
        <v>0</v>
      </c>
      <c r="V134" s="335" cm="1">
        <f t="array" ref="V134">CalculateBiogenicCarbonUptake('ZERO-B Beregning'!$D$17,'Inndata Bygg'!H137,'Inndata Bygg'!G137,'Inndata Bygg'!L137,F134,AB134,AC134,AD134)</f>
        <v>0</v>
      </c>
      <c r="W134" s="576" cm="1">
        <f t="array" ref="W134">CalculateCementCarbonUptake('ZERO-B Beregning'!$D$17,'Inndata Bygg'!H137,'Inndata Bygg'!G137,'Inndata Bygg'!N137)</f>
        <v>0</v>
      </c>
      <c r="X134" s="331" cm="1">
        <f t="array" ref="X134">IF(SUM(F134:J134,L134)=0, 0, SUM(F134:J134,L134)*(1+'Inndata Bygg'!K137)*IF('Inndata Bygg'!H137&gt;50, 0, _xlfn.XLOOKUP('Inndata Bygg'!H137, År_etter_ferdigstillelse, IF(VALUE(LEFT('Inndata Bygg'!B137, 2))= 49, f_tid_x_f_tek_d_0_037_kumulativ, f_tid_x_f_tek_d_0_01_kumulativ))))</f>
        <v>0</v>
      </c>
      <c r="Y134" s="330">
        <f>IF(X134=0, 0, SUM(K134,M134)*(1+'Inndata Bygg'!K137)*IF('Inndata Bygg'!H137&gt;50, 0, _xlfn.XLOOKUP('Inndata Bygg'!H137, År_etter_ferdigstillelse, f_tid_x_f_tek_d_0_01_kumulativ)))</f>
        <v>0</v>
      </c>
      <c r="Z134" s="336">
        <f>IF(X134=0, 0, SUM(N134:P134)*(1+'Inndata Bygg'!K137)*IF('Inndata Bygg'!H137&gt;50, 0, _xlfn.XLOOKUP('Inndata Bygg'!H137, År_etter_ferdigstillelse, f_tid_x_f_tek_d_0_01_kumulativ)))</f>
        <v>0</v>
      </c>
      <c r="AA134" s="336">
        <f>IF(X134=0, 0, ('Inndata Bygg'!G137+'Inndata Bygg'!O137+'Inndata Bygg'!S137)*(1+'Inndata Bygg'!K137)*Transport_utslipp_til_avfallshånderting_per_kg*IF('Inndata Bygg'!H137&gt;50, 0, _xlfn.XLOOKUP('Inndata Bygg'!H137, År_etter_ferdigstillelse, f_tid_x_f_tek_d_0_01_kumulativ)))</f>
        <v>0</v>
      </c>
      <c r="AB134" s="580" cm="1">
        <f t="array" ref="AB134">CalculateEmissionsFromIncinerationOfWaste('ZERO-B Beregning'!$D$17,'Inndata Bygg'!H137,'Inndata Bygg'!G137,'Inndata Bygg'!X137,'Inndata Bygg'!L137,'Inndata Bygg'!M137,'Inndata Bygg'!B137)</f>
        <v>0</v>
      </c>
      <c r="AC134" s="335">
        <f>IF(('Inndata Bygg'!G137+'Inndata Bygg'!O137+'Inndata Bygg'!S137) = 0, 0,('Inndata Bygg'!G137+'Inndata Bygg'!O137+'Inndata Bygg'!S137)*(('Inndata Bygg'!X137+'Inndata Bygg'!Y137+'Inndata Bygg'!AA137)*Transport_utslipp_til_avfallshånderting_per_kg+('Inndata Bygg'!Z137*'ZERO-B Beregning'!D236/1000)*IF('ZERO-B Beregning'!F237=0,'ZERO-B Beregning'!D237,'ZERO-B Beregning'!F237))*_xlfn.XLOOKUP(51, År_etter_ferdigstillelse, f_tid_x_f_tek_d_0_01))</f>
        <v>0</v>
      </c>
      <c r="AD134" s="577">
        <f>IF(('Inndata Bygg'!G137+'Inndata Bygg'!O137+'Inndata Bygg'!S137) = 0, 0,1.833*('Inndata Bygg'!G137*('Inndata Bygg'!L137*0.5+'Inndata Bygg'!M137*0.8)+'Inndata Bygg'!O137*'Inndata Bygg'!Q137+'Inndata Bygg'!S137*'Inndata Bygg'!U137)*AG134*_xlfn.XLOOKUP(51, År_etter_ferdigstillelse,  f_tid_x_f_tek_d_0_01))</f>
        <v>0</v>
      </c>
      <c r="AE134" s="575" cm="1">
        <f t="array" ref="AE134">CalculateEmissionsReductionFromReuse('ZERO-B Beregning'!$D$17,'Inndata Bygg'!H137,'Inndata Bygg'!G137,'Inndata Bygg'!Z137,'Inndata Bygg'!X137,'Inndata Bygg'!Y137,F134,'Inndata Bygg'!B137)</f>
        <v>0</v>
      </c>
      <c r="AF134" s="333" cm="1">
        <f t="array" ref="AF134">CalculateEmissionReductionFromRecycling('ZERO-B Beregning'!$D$17,'Inndata Bygg'!H137,'Inndata Bygg'!G137,'Inndata Bygg'!AA137,'Inndata Bygg'!X137,'Inndata Bygg'!Y137,F134,'Inndata Bygg'!B137)</f>
        <v>0</v>
      </c>
      <c r="AG134" s="572">
        <f>IF(('Inndata Bygg'!G137+'Inndata Bygg'!O137+'Inndata Bygg'!S137) = 0, 0,'Inndata Bygg'!X137*Faktorer!$Z$58)</f>
        <v>0</v>
      </c>
      <c r="AH134" s="573">
        <f>IF(('Inndata Bygg'!G137+'Inndata Bygg'!O137+'Inndata Bygg'!S137) = 0, 0,'Inndata Bygg'!Z137+('Inndata Bygg'!X137+'Inndata Bygg'!Y137)*(1-Faktorer!$Z$58)*0.5)</f>
        <v>0</v>
      </c>
      <c r="AI134" s="574">
        <f>IF(('Inndata Bygg'!G137+'Inndata Bygg'!O137+'Inndata Bygg'!S137) = 0, 0,'Inndata Bygg'!AA137+('Inndata Bygg'!X137+'Inndata Bygg'!Y137)*(1-Faktorer!$Z$58)*0.5)</f>
        <v>0</v>
      </c>
      <c r="AJ134" s="634"/>
      <c r="AK134" s="90">
        <f t="shared" si="3"/>
        <v>0</v>
      </c>
      <c r="AL134" s="91">
        <f>'Resultater detaljert Bygg'!N134</f>
        <v>0</v>
      </c>
      <c r="AM134" s="91" t="str">
        <f>IF(F134=0,"",('Inndata Bygg'!E137+'Inndata Bygg'!F137)*ROUNDDOWN('Inndata Bygg'!I137,0)*(1+'Inndata Bygg'!K137))</f>
        <v/>
      </c>
    </row>
    <row r="135" spans="2:39">
      <c r="B135" s="339">
        <f>'Inndata Bygg'!B138</f>
        <v>0</v>
      </c>
      <c r="C135" s="340">
        <f>'Inndata Bygg'!C138</f>
        <v>0</v>
      </c>
      <c r="D135" s="341">
        <f>'Inndata Bygg'!D138</f>
        <v>0</v>
      </c>
      <c r="E135" s="421" cm="1">
        <f t="array" ref="E135">SUM(IFERROR(F135:AD135,0))</f>
        <v>0</v>
      </c>
      <c r="F135" s="330">
        <f>'Inndata Bygg'!E138</f>
        <v>0</v>
      </c>
      <c r="G135" s="330">
        <f>IF('Inndata Bygg'!AB138="Ja", -0.8*'Resultater detaljert Bygg'!F135, 0)</f>
        <v>0</v>
      </c>
      <c r="H135" s="330">
        <f>IF('Inndata Bygg'!AC138="Ja", -0.4*'Resultater detaljert Bygg'!$F135, 0)</f>
        <v>0</v>
      </c>
      <c r="I135" s="330">
        <f>IF('Inndata Bygg'!AD138="Ja", -1*'Resultater detaljert Bygg'!$F135, 0)</f>
        <v>0</v>
      </c>
      <c r="J135" s="330">
        <f>'Inndata Bygg'!O138*'Inndata Bygg'!P138</f>
        <v>0</v>
      </c>
      <c r="K135" s="330">
        <f>MAX(-0.75*(SUM('Resultater detaljert Bygg'!F135:J135)),-'Inndata Bygg'!O138*'Inndata Bygg'!Q138)</f>
        <v>0</v>
      </c>
      <c r="L135" s="330">
        <f>'Inndata Bygg'!S138*'Inndata Bygg'!T138</f>
        <v>0</v>
      </c>
      <c r="M135" s="330">
        <f>MAX(-0.75*(SUM('Resultater detaljert Bygg'!F135:I135,L135)),-'Inndata Bygg'!S138*'Inndata Bygg'!U138)</f>
        <v>0</v>
      </c>
      <c r="N135" s="331">
        <f>'Inndata Bygg'!F138</f>
        <v>0</v>
      </c>
      <c r="O135" s="330">
        <f>'Inndata Bygg'!O138*'Inndata Bygg'!R138</f>
        <v>0</v>
      </c>
      <c r="P135" s="332">
        <f>'Inndata Bygg'!S138*'Inndata Bygg'!V138</f>
        <v>0</v>
      </c>
      <c r="Q135" s="493">
        <f>SUM(F135:J135,L135)*'Inndata Bygg'!K138</f>
        <v>0</v>
      </c>
      <c r="R135" s="333">
        <f>(K135+M135)*'Inndata Bygg'!K138</f>
        <v>0</v>
      </c>
      <c r="S135" s="493">
        <f>N135*'Inndata Bygg'!K138</f>
        <v>0</v>
      </c>
      <c r="T135" s="494">
        <f>'Inndata Bygg'!G138*'Inndata Bygg'!K138*Transport_utslipp_til_avfallshånderting_per_kg</f>
        <v>0</v>
      </c>
      <c r="U135" s="330">
        <f>IF('Inndata Bygg'!E138 = 0, 0, 1.833*'Inndata Bygg'!X138*'Inndata Bygg'!K138*('Inndata Bygg'!G138*('Inndata Bygg'!L138*0.5+'Inndata Bygg'!M138*0.8) + (12/44)*('Inndata Bygg'!O138*'Inndata Bygg'!Q138+'Inndata Bygg'!S138*'Inndata Bygg'!U138)))</f>
        <v>0</v>
      </c>
      <c r="V135" s="335" cm="1">
        <f t="array" ref="V135">CalculateBiogenicCarbonUptake('ZERO-B Beregning'!$D$17,'Inndata Bygg'!H138,'Inndata Bygg'!G138,'Inndata Bygg'!L138,F135,AB135,AC135,AD135)</f>
        <v>0</v>
      </c>
      <c r="W135" s="576" cm="1">
        <f t="array" ref="W135">CalculateCementCarbonUptake('ZERO-B Beregning'!$D$17,'Inndata Bygg'!H138,'Inndata Bygg'!G138,'Inndata Bygg'!N138)</f>
        <v>0</v>
      </c>
      <c r="X135" s="331" cm="1">
        <f t="array" ref="X135">IF(SUM(F135:J135,L135)=0, 0, SUM(F135:J135,L135)*(1+'Inndata Bygg'!K138)*IF('Inndata Bygg'!H138&gt;50, 0, _xlfn.XLOOKUP('Inndata Bygg'!H138, År_etter_ferdigstillelse, IF(VALUE(LEFT('Inndata Bygg'!B138, 2))= 49, f_tid_x_f_tek_d_0_037_kumulativ, f_tid_x_f_tek_d_0_01_kumulativ))))</f>
        <v>0</v>
      </c>
      <c r="Y135" s="330">
        <f>IF(X135=0, 0, SUM(K135,M135)*(1+'Inndata Bygg'!K138)*IF('Inndata Bygg'!H138&gt;50, 0, _xlfn.XLOOKUP('Inndata Bygg'!H138, År_etter_ferdigstillelse, f_tid_x_f_tek_d_0_01_kumulativ)))</f>
        <v>0</v>
      </c>
      <c r="Z135" s="336">
        <f>IF(X135=0, 0, SUM(N135:P135)*(1+'Inndata Bygg'!K138)*IF('Inndata Bygg'!H138&gt;50, 0, _xlfn.XLOOKUP('Inndata Bygg'!H138, År_etter_ferdigstillelse, f_tid_x_f_tek_d_0_01_kumulativ)))</f>
        <v>0</v>
      </c>
      <c r="AA135" s="336">
        <f>IF(X135=0, 0, ('Inndata Bygg'!G138+'Inndata Bygg'!O138+'Inndata Bygg'!S138)*(1+'Inndata Bygg'!K138)*Transport_utslipp_til_avfallshånderting_per_kg*IF('Inndata Bygg'!H138&gt;50, 0, _xlfn.XLOOKUP('Inndata Bygg'!H138, År_etter_ferdigstillelse, f_tid_x_f_tek_d_0_01_kumulativ)))</f>
        <v>0</v>
      </c>
      <c r="AB135" s="580" cm="1">
        <f t="array" ref="AB135">CalculateEmissionsFromIncinerationOfWaste('ZERO-B Beregning'!$D$17,'Inndata Bygg'!H138,'Inndata Bygg'!G138,'Inndata Bygg'!X138,'Inndata Bygg'!L138,'Inndata Bygg'!M138,'Inndata Bygg'!B138)</f>
        <v>0</v>
      </c>
      <c r="AC135" s="335">
        <f>IF(('Inndata Bygg'!G138+'Inndata Bygg'!O138+'Inndata Bygg'!S138) = 0, 0,('Inndata Bygg'!G138+'Inndata Bygg'!O138+'Inndata Bygg'!S138)*(('Inndata Bygg'!X138+'Inndata Bygg'!Y138+'Inndata Bygg'!AA138)*Transport_utslipp_til_avfallshånderting_per_kg+('Inndata Bygg'!Z138*'ZERO-B Beregning'!D237/1000)*IF('ZERO-B Beregning'!F238=0,'ZERO-B Beregning'!D238,'ZERO-B Beregning'!F238))*_xlfn.XLOOKUP(51, År_etter_ferdigstillelse, f_tid_x_f_tek_d_0_01))</f>
        <v>0</v>
      </c>
      <c r="AD135" s="577">
        <f>IF(('Inndata Bygg'!G138+'Inndata Bygg'!O138+'Inndata Bygg'!S138) = 0, 0,1.833*('Inndata Bygg'!G138*('Inndata Bygg'!L138*0.5+'Inndata Bygg'!M138*0.8)+'Inndata Bygg'!O138*'Inndata Bygg'!Q138+'Inndata Bygg'!S138*'Inndata Bygg'!U138)*AG135*_xlfn.XLOOKUP(51, År_etter_ferdigstillelse,  f_tid_x_f_tek_d_0_01))</f>
        <v>0</v>
      </c>
      <c r="AE135" s="575" cm="1">
        <f t="array" ref="AE135">CalculateEmissionsReductionFromReuse('ZERO-B Beregning'!$D$17,'Inndata Bygg'!H138,'Inndata Bygg'!G138,'Inndata Bygg'!Z138,'Inndata Bygg'!X138,'Inndata Bygg'!Y138,F135,'Inndata Bygg'!B138)</f>
        <v>0</v>
      </c>
      <c r="AF135" s="333" cm="1">
        <f t="array" ref="AF135">CalculateEmissionReductionFromRecycling('ZERO-B Beregning'!$D$17,'Inndata Bygg'!H138,'Inndata Bygg'!G138,'Inndata Bygg'!AA138,'Inndata Bygg'!X138,'Inndata Bygg'!Y138,F135,'Inndata Bygg'!B138)</f>
        <v>0</v>
      </c>
      <c r="AG135" s="572">
        <f>IF(('Inndata Bygg'!G138+'Inndata Bygg'!O138+'Inndata Bygg'!S138) = 0, 0,'Inndata Bygg'!X138*Faktorer!$Z$58)</f>
        <v>0</v>
      </c>
      <c r="AH135" s="573">
        <f>IF(('Inndata Bygg'!G138+'Inndata Bygg'!O138+'Inndata Bygg'!S138) = 0, 0,'Inndata Bygg'!Z138+('Inndata Bygg'!X138+'Inndata Bygg'!Y138)*(1-Faktorer!$Z$58)*0.5)</f>
        <v>0</v>
      </c>
      <c r="AI135" s="574">
        <f>IF(('Inndata Bygg'!G138+'Inndata Bygg'!O138+'Inndata Bygg'!S138) = 0, 0,'Inndata Bygg'!AA138+('Inndata Bygg'!X138+'Inndata Bygg'!Y138)*(1-Faktorer!$Z$58)*0.5)</f>
        <v>0</v>
      </c>
      <c r="AJ135" s="634"/>
      <c r="AK135" s="90">
        <f t="shared" si="3"/>
        <v>0</v>
      </c>
      <c r="AL135" s="91">
        <f>'Resultater detaljert Bygg'!N135</f>
        <v>0</v>
      </c>
      <c r="AM135" s="91" t="str">
        <f>IF(F135=0,"",('Inndata Bygg'!E138+'Inndata Bygg'!F138)*ROUNDDOWN('Inndata Bygg'!I138,0)*(1+'Inndata Bygg'!K138))</f>
        <v/>
      </c>
    </row>
    <row r="136" spans="2:39">
      <c r="B136" s="339">
        <f>'Inndata Bygg'!B139</f>
        <v>0</v>
      </c>
      <c r="C136" s="340">
        <f>'Inndata Bygg'!C139</f>
        <v>0</v>
      </c>
      <c r="D136" s="341">
        <f>'Inndata Bygg'!D139</f>
        <v>0</v>
      </c>
      <c r="E136" s="421" cm="1">
        <f t="array" ref="E136">SUM(IFERROR(F136:AD136,0))</f>
        <v>0</v>
      </c>
      <c r="F136" s="330">
        <f>'Inndata Bygg'!E139</f>
        <v>0</v>
      </c>
      <c r="G136" s="330">
        <f>IF('Inndata Bygg'!AB139="Ja", -0.8*'Resultater detaljert Bygg'!F136, 0)</f>
        <v>0</v>
      </c>
      <c r="H136" s="330">
        <f>IF('Inndata Bygg'!AC139="Ja", -0.4*'Resultater detaljert Bygg'!$F136, 0)</f>
        <v>0</v>
      </c>
      <c r="I136" s="330">
        <f>IF('Inndata Bygg'!AD139="Ja", -1*'Resultater detaljert Bygg'!$F136, 0)</f>
        <v>0</v>
      </c>
      <c r="J136" s="330">
        <f>'Inndata Bygg'!O139*'Inndata Bygg'!P139</f>
        <v>0</v>
      </c>
      <c r="K136" s="330">
        <f>MAX(-0.75*(SUM('Resultater detaljert Bygg'!F136:J136)),-'Inndata Bygg'!O139*'Inndata Bygg'!Q139)</f>
        <v>0</v>
      </c>
      <c r="L136" s="330">
        <f>'Inndata Bygg'!S139*'Inndata Bygg'!T139</f>
        <v>0</v>
      </c>
      <c r="M136" s="330">
        <f>MAX(-0.75*(SUM('Resultater detaljert Bygg'!F136:I136,L136)),-'Inndata Bygg'!S139*'Inndata Bygg'!U139)</f>
        <v>0</v>
      </c>
      <c r="N136" s="331">
        <f>'Inndata Bygg'!F139</f>
        <v>0</v>
      </c>
      <c r="O136" s="330">
        <f>'Inndata Bygg'!O139*'Inndata Bygg'!R139</f>
        <v>0</v>
      </c>
      <c r="P136" s="332">
        <f>'Inndata Bygg'!S139*'Inndata Bygg'!V139</f>
        <v>0</v>
      </c>
      <c r="Q136" s="493">
        <f>SUM(F136:J136,L136)*'Inndata Bygg'!K139</f>
        <v>0</v>
      </c>
      <c r="R136" s="333">
        <f>(K136+M136)*'Inndata Bygg'!K139</f>
        <v>0</v>
      </c>
      <c r="S136" s="493">
        <f>N136*'Inndata Bygg'!K139</f>
        <v>0</v>
      </c>
      <c r="T136" s="494">
        <f>'Inndata Bygg'!G139*'Inndata Bygg'!K139*Transport_utslipp_til_avfallshånderting_per_kg</f>
        <v>0</v>
      </c>
      <c r="U136" s="330">
        <f>IF('Inndata Bygg'!E139 = 0, 0, 1.833*'Inndata Bygg'!X139*'Inndata Bygg'!K139*('Inndata Bygg'!G139*('Inndata Bygg'!L139*0.5+'Inndata Bygg'!M139*0.8) + (12/44)*('Inndata Bygg'!O139*'Inndata Bygg'!Q139+'Inndata Bygg'!S139*'Inndata Bygg'!U139)))</f>
        <v>0</v>
      </c>
      <c r="V136" s="335" cm="1">
        <f t="array" ref="V136">CalculateBiogenicCarbonUptake('ZERO-B Beregning'!$D$17,'Inndata Bygg'!H139,'Inndata Bygg'!G139,'Inndata Bygg'!L139,F136,AB136,AC136,AD136)</f>
        <v>0</v>
      </c>
      <c r="W136" s="576" cm="1">
        <f t="array" ref="W136">CalculateCementCarbonUptake('ZERO-B Beregning'!$D$17,'Inndata Bygg'!H139,'Inndata Bygg'!G139,'Inndata Bygg'!N139)</f>
        <v>0</v>
      </c>
      <c r="X136" s="331" cm="1">
        <f t="array" ref="X136">IF(SUM(F136:J136,L136)=0, 0, SUM(F136:J136,L136)*(1+'Inndata Bygg'!K139)*IF('Inndata Bygg'!H139&gt;50, 0, _xlfn.XLOOKUP('Inndata Bygg'!H139, År_etter_ferdigstillelse, IF(VALUE(LEFT('Inndata Bygg'!B139, 2))= 49, f_tid_x_f_tek_d_0_037_kumulativ, f_tid_x_f_tek_d_0_01_kumulativ))))</f>
        <v>0</v>
      </c>
      <c r="Y136" s="330">
        <f>IF(X136=0, 0, SUM(K136,M136)*(1+'Inndata Bygg'!K139)*IF('Inndata Bygg'!H139&gt;50, 0, _xlfn.XLOOKUP('Inndata Bygg'!H139, År_etter_ferdigstillelse, f_tid_x_f_tek_d_0_01_kumulativ)))</f>
        <v>0</v>
      </c>
      <c r="Z136" s="336">
        <f>IF(X136=0, 0, SUM(N136:P136)*(1+'Inndata Bygg'!K139)*IF('Inndata Bygg'!H139&gt;50, 0, _xlfn.XLOOKUP('Inndata Bygg'!H139, År_etter_ferdigstillelse, f_tid_x_f_tek_d_0_01_kumulativ)))</f>
        <v>0</v>
      </c>
      <c r="AA136" s="336">
        <f>IF(X136=0, 0, ('Inndata Bygg'!G139+'Inndata Bygg'!O139+'Inndata Bygg'!S139)*(1+'Inndata Bygg'!K139)*Transport_utslipp_til_avfallshånderting_per_kg*IF('Inndata Bygg'!H139&gt;50, 0, _xlfn.XLOOKUP('Inndata Bygg'!H139, År_etter_ferdigstillelse, f_tid_x_f_tek_d_0_01_kumulativ)))</f>
        <v>0</v>
      </c>
      <c r="AB136" s="580" cm="1">
        <f t="array" ref="AB136">CalculateEmissionsFromIncinerationOfWaste('ZERO-B Beregning'!$D$17,'Inndata Bygg'!H139,'Inndata Bygg'!G139,'Inndata Bygg'!X139,'Inndata Bygg'!L139,'Inndata Bygg'!M139,'Inndata Bygg'!B139)</f>
        <v>0</v>
      </c>
      <c r="AC136" s="335">
        <f>IF(('Inndata Bygg'!G139+'Inndata Bygg'!O139+'Inndata Bygg'!S139) = 0, 0,('Inndata Bygg'!G139+'Inndata Bygg'!O139+'Inndata Bygg'!S139)*(('Inndata Bygg'!X139+'Inndata Bygg'!Y139+'Inndata Bygg'!AA139)*Transport_utslipp_til_avfallshånderting_per_kg+('Inndata Bygg'!Z139*'ZERO-B Beregning'!D238/1000)*IF('ZERO-B Beregning'!F239=0,'ZERO-B Beregning'!D239,'ZERO-B Beregning'!F239))*_xlfn.XLOOKUP(51, År_etter_ferdigstillelse, f_tid_x_f_tek_d_0_01))</f>
        <v>0</v>
      </c>
      <c r="AD136" s="577">
        <f>IF(('Inndata Bygg'!G139+'Inndata Bygg'!O139+'Inndata Bygg'!S139) = 0, 0,1.833*('Inndata Bygg'!G139*('Inndata Bygg'!L139*0.5+'Inndata Bygg'!M139*0.8)+'Inndata Bygg'!O139*'Inndata Bygg'!Q139+'Inndata Bygg'!S139*'Inndata Bygg'!U139)*AG136*_xlfn.XLOOKUP(51, År_etter_ferdigstillelse,  f_tid_x_f_tek_d_0_01))</f>
        <v>0</v>
      </c>
      <c r="AE136" s="575" cm="1">
        <f t="array" ref="AE136">CalculateEmissionsReductionFromReuse('ZERO-B Beregning'!$D$17,'Inndata Bygg'!H139,'Inndata Bygg'!G139,'Inndata Bygg'!Z139,'Inndata Bygg'!X139,'Inndata Bygg'!Y139,F136,'Inndata Bygg'!B139)</f>
        <v>0</v>
      </c>
      <c r="AF136" s="333" cm="1">
        <f t="array" ref="AF136">CalculateEmissionReductionFromRecycling('ZERO-B Beregning'!$D$17,'Inndata Bygg'!H139,'Inndata Bygg'!G139,'Inndata Bygg'!AA139,'Inndata Bygg'!X139,'Inndata Bygg'!Y139,F136,'Inndata Bygg'!B139)</f>
        <v>0</v>
      </c>
      <c r="AG136" s="572">
        <f>IF(('Inndata Bygg'!G139+'Inndata Bygg'!O139+'Inndata Bygg'!S139) = 0, 0,'Inndata Bygg'!X139*Faktorer!$Z$58)</f>
        <v>0</v>
      </c>
      <c r="AH136" s="573">
        <f>IF(('Inndata Bygg'!G139+'Inndata Bygg'!O139+'Inndata Bygg'!S139) = 0, 0,'Inndata Bygg'!Z139+('Inndata Bygg'!X139+'Inndata Bygg'!Y139)*(1-Faktorer!$Z$58)*0.5)</f>
        <v>0</v>
      </c>
      <c r="AI136" s="574">
        <f>IF(('Inndata Bygg'!G139+'Inndata Bygg'!O139+'Inndata Bygg'!S139) = 0, 0,'Inndata Bygg'!AA139+('Inndata Bygg'!X139+'Inndata Bygg'!Y139)*(1-Faktorer!$Z$58)*0.5)</f>
        <v>0</v>
      </c>
      <c r="AJ136" s="634"/>
      <c r="AK136" s="90">
        <f t="shared" si="3"/>
        <v>0</v>
      </c>
      <c r="AL136" s="91">
        <f>'Resultater detaljert Bygg'!N136</f>
        <v>0</v>
      </c>
      <c r="AM136" s="91" t="str">
        <f>IF(F136=0,"",('Inndata Bygg'!E139+'Inndata Bygg'!F139)*ROUNDDOWN('Inndata Bygg'!I139,0)*(1+'Inndata Bygg'!K139))</f>
        <v/>
      </c>
    </row>
    <row r="137" spans="2:39">
      <c r="B137" s="339">
        <f>'Inndata Bygg'!B140</f>
        <v>0</v>
      </c>
      <c r="C137" s="340">
        <f>'Inndata Bygg'!C140</f>
        <v>0</v>
      </c>
      <c r="D137" s="341">
        <f>'Inndata Bygg'!D140</f>
        <v>0</v>
      </c>
      <c r="E137" s="421" cm="1">
        <f t="array" ref="E137">SUM(IFERROR(F137:AD137,0))</f>
        <v>0</v>
      </c>
      <c r="F137" s="330">
        <f>'Inndata Bygg'!E140</f>
        <v>0</v>
      </c>
      <c r="G137" s="330">
        <f>IF('Inndata Bygg'!AB140="Ja", -0.8*'Resultater detaljert Bygg'!F137, 0)</f>
        <v>0</v>
      </c>
      <c r="H137" s="330">
        <f>IF('Inndata Bygg'!AC140="Ja", -0.4*'Resultater detaljert Bygg'!$F137, 0)</f>
        <v>0</v>
      </c>
      <c r="I137" s="330">
        <f>IF('Inndata Bygg'!AD140="Ja", -1*'Resultater detaljert Bygg'!$F137, 0)</f>
        <v>0</v>
      </c>
      <c r="J137" s="330">
        <f>'Inndata Bygg'!O140*'Inndata Bygg'!P140</f>
        <v>0</v>
      </c>
      <c r="K137" s="330">
        <f>MAX(-0.75*(SUM('Resultater detaljert Bygg'!F137:J137)),-'Inndata Bygg'!O140*'Inndata Bygg'!Q140)</f>
        <v>0</v>
      </c>
      <c r="L137" s="330">
        <f>'Inndata Bygg'!S140*'Inndata Bygg'!T140</f>
        <v>0</v>
      </c>
      <c r="M137" s="330">
        <f>MAX(-0.75*(SUM('Resultater detaljert Bygg'!F137:I137,L137)),-'Inndata Bygg'!S140*'Inndata Bygg'!U140)</f>
        <v>0</v>
      </c>
      <c r="N137" s="331">
        <f>'Inndata Bygg'!F140</f>
        <v>0</v>
      </c>
      <c r="O137" s="330">
        <f>'Inndata Bygg'!O140*'Inndata Bygg'!R140</f>
        <v>0</v>
      </c>
      <c r="P137" s="332">
        <f>'Inndata Bygg'!S140*'Inndata Bygg'!V140</f>
        <v>0</v>
      </c>
      <c r="Q137" s="493">
        <f>SUM(F137:J137,L137)*'Inndata Bygg'!K140</f>
        <v>0</v>
      </c>
      <c r="R137" s="333">
        <f>(K137+M137)*'Inndata Bygg'!K140</f>
        <v>0</v>
      </c>
      <c r="S137" s="493">
        <f>N137*'Inndata Bygg'!K140</f>
        <v>0</v>
      </c>
      <c r="T137" s="494">
        <f>'Inndata Bygg'!G140*'Inndata Bygg'!K140*Transport_utslipp_til_avfallshånderting_per_kg</f>
        <v>0</v>
      </c>
      <c r="U137" s="330">
        <f>IF('Inndata Bygg'!E140 = 0, 0, 1.833*'Inndata Bygg'!X140*'Inndata Bygg'!K140*('Inndata Bygg'!G140*('Inndata Bygg'!L140*0.5+'Inndata Bygg'!M140*0.8) + (12/44)*('Inndata Bygg'!O140*'Inndata Bygg'!Q140+'Inndata Bygg'!S140*'Inndata Bygg'!U140)))</f>
        <v>0</v>
      </c>
      <c r="V137" s="335" cm="1">
        <f t="array" ref="V137">CalculateBiogenicCarbonUptake('ZERO-B Beregning'!$D$17,'Inndata Bygg'!H140,'Inndata Bygg'!G140,'Inndata Bygg'!L140,F137,AB137,AC137,AD137)</f>
        <v>0</v>
      </c>
      <c r="W137" s="576" cm="1">
        <f t="array" ref="W137">CalculateCementCarbonUptake('ZERO-B Beregning'!$D$17,'Inndata Bygg'!H140,'Inndata Bygg'!G140,'Inndata Bygg'!N140)</f>
        <v>0</v>
      </c>
      <c r="X137" s="331" cm="1">
        <f t="array" ref="X137">IF(SUM(F137:J137,L137)=0, 0, SUM(F137:J137,L137)*(1+'Inndata Bygg'!K140)*IF('Inndata Bygg'!H140&gt;50, 0, _xlfn.XLOOKUP('Inndata Bygg'!H140, År_etter_ferdigstillelse, IF(VALUE(LEFT('Inndata Bygg'!B140, 2))= 49, f_tid_x_f_tek_d_0_037_kumulativ, f_tid_x_f_tek_d_0_01_kumulativ))))</f>
        <v>0</v>
      </c>
      <c r="Y137" s="330">
        <f>IF(X137=0, 0, SUM(K137,M137)*(1+'Inndata Bygg'!K140)*IF('Inndata Bygg'!H140&gt;50, 0, _xlfn.XLOOKUP('Inndata Bygg'!H140, År_etter_ferdigstillelse, f_tid_x_f_tek_d_0_01_kumulativ)))</f>
        <v>0</v>
      </c>
      <c r="Z137" s="336">
        <f>IF(X137=0, 0, SUM(N137:P137)*(1+'Inndata Bygg'!K140)*IF('Inndata Bygg'!H140&gt;50, 0, _xlfn.XLOOKUP('Inndata Bygg'!H140, År_etter_ferdigstillelse, f_tid_x_f_tek_d_0_01_kumulativ)))</f>
        <v>0</v>
      </c>
      <c r="AA137" s="336">
        <f>IF(X137=0, 0, ('Inndata Bygg'!G140+'Inndata Bygg'!O140+'Inndata Bygg'!S140)*(1+'Inndata Bygg'!K140)*Transport_utslipp_til_avfallshånderting_per_kg*IF('Inndata Bygg'!H140&gt;50, 0, _xlfn.XLOOKUP('Inndata Bygg'!H140, År_etter_ferdigstillelse, f_tid_x_f_tek_d_0_01_kumulativ)))</f>
        <v>0</v>
      </c>
      <c r="AB137" s="580" cm="1">
        <f t="array" ref="AB137">CalculateEmissionsFromIncinerationOfWaste('ZERO-B Beregning'!$D$17,'Inndata Bygg'!H140,'Inndata Bygg'!G140,'Inndata Bygg'!X140,'Inndata Bygg'!L140,'Inndata Bygg'!M140,'Inndata Bygg'!B140)</f>
        <v>0</v>
      </c>
      <c r="AC137" s="335">
        <f>IF(('Inndata Bygg'!G140+'Inndata Bygg'!O140+'Inndata Bygg'!S140) = 0, 0,('Inndata Bygg'!G140+'Inndata Bygg'!O140+'Inndata Bygg'!S140)*(('Inndata Bygg'!X140+'Inndata Bygg'!Y140+'Inndata Bygg'!AA140)*Transport_utslipp_til_avfallshånderting_per_kg+('Inndata Bygg'!Z140*'ZERO-B Beregning'!D239/1000)*IF('ZERO-B Beregning'!F240=0,'ZERO-B Beregning'!D240,'ZERO-B Beregning'!F240))*_xlfn.XLOOKUP(51, År_etter_ferdigstillelse, f_tid_x_f_tek_d_0_01))</f>
        <v>0</v>
      </c>
      <c r="AD137" s="577">
        <f>IF(('Inndata Bygg'!G140+'Inndata Bygg'!O140+'Inndata Bygg'!S140) = 0, 0,1.833*('Inndata Bygg'!G140*('Inndata Bygg'!L140*0.5+'Inndata Bygg'!M140*0.8)+'Inndata Bygg'!O140*'Inndata Bygg'!Q140+'Inndata Bygg'!S140*'Inndata Bygg'!U140)*AG137*_xlfn.XLOOKUP(51, År_etter_ferdigstillelse,  f_tid_x_f_tek_d_0_01))</f>
        <v>0</v>
      </c>
      <c r="AE137" s="575" cm="1">
        <f t="array" ref="AE137">CalculateEmissionsReductionFromReuse('ZERO-B Beregning'!$D$17,'Inndata Bygg'!H140,'Inndata Bygg'!G140,'Inndata Bygg'!Z140,'Inndata Bygg'!X140,'Inndata Bygg'!Y140,F137,'Inndata Bygg'!B140)</f>
        <v>0</v>
      </c>
      <c r="AF137" s="333" cm="1">
        <f t="array" ref="AF137">CalculateEmissionReductionFromRecycling('ZERO-B Beregning'!$D$17,'Inndata Bygg'!H140,'Inndata Bygg'!G140,'Inndata Bygg'!AA140,'Inndata Bygg'!X140,'Inndata Bygg'!Y140,F137,'Inndata Bygg'!B140)</f>
        <v>0</v>
      </c>
      <c r="AG137" s="572">
        <f>IF(('Inndata Bygg'!G140+'Inndata Bygg'!O140+'Inndata Bygg'!S140) = 0, 0,'Inndata Bygg'!X140*Faktorer!$Z$58)</f>
        <v>0</v>
      </c>
      <c r="AH137" s="573">
        <f>IF(('Inndata Bygg'!G140+'Inndata Bygg'!O140+'Inndata Bygg'!S140) = 0, 0,'Inndata Bygg'!Z140+('Inndata Bygg'!X140+'Inndata Bygg'!Y140)*(1-Faktorer!$Z$58)*0.5)</f>
        <v>0</v>
      </c>
      <c r="AI137" s="574">
        <f>IF(('Inndata Bygg'!G140+'Inndata Bygg'!O140+'Inndata Bygg'!S140) = 0, 0,'Inndata Bygg'!AA140+('Inndata Bygg'!X140+'Inndata Bygg'!Y140)*(1-Faktorer!$Z$58)*0.5)</f>
        <v>0</v>
      </c>
      <c r="AJ137" s="634"/>
      <c r="AK137" s="90">
        <f t="shared" si="3"/>
        <v>0</v>
      </c>
      <c r="AL137" s="91">
        <f>'Resultater detaljert Bygg'!N137</f>
        <v>0</v>
      </c>
      <c r="AM137" s="91" t="str">
        <f>IF(F137=0,"",('Inndata Bygg'!E140+'Inndata Bygg'!F140)*ROUNDDOWN('Inndata Bygg'!I140,0)*(1+'Inndata Bygg'!K140))</f>
        <v/>
      </c>
    </row>
    <row r="138" spans="2:39">
      <c r="B138" s="339">
        <f>'Inndata Bygg'!B141</f>
        <v>0</v>
      </c>
      <c r="C138" s="340">
        <f>'Inndata Bygg'!C141</f>
        <v>0</v>
      </c>
      <c r="D138" s="341">
        <f>'Inndata Bygg'!D141</f>
        <v>0</v>
      </c>
      <c r="E138" s="421" cm="1">
        <f t="array" ref="E138">SUM(IFERROR(F138:AD138,0))</f>
        <v>0</v>
      </c>
      <c r="F138" s="330">
        <f>'Inndata Bygg'!E141</f>
        <v>0</v>
      </c>
      <c r="G138" s="330">
        <f>IF('Inndata Bygg'!AB141="Ja", -0.8*'Resultater detaljert Bygg'!F138, 0)</f>
        <v>0</v>
      </c>
      <c r="H138" s="330">
        <f>IF('Inndata Bygg'!AC141="Ja", -0.4*'Resultater detaljert Bygg'!$F138, 0)</f>
        <v>0</v>
      </c>
      <c r="I138" s="330">
        <f>IF('Inndata Bygg'!AD141="Ja", -1*'Resultater detaljert Bygg'!$F138, 0)</f>
        <v>0</v>
      </c>
      <c r="J138" s="330">
        <f>'Inndata Bygg'!O141*'Inndata Bygg'!P141</f>
        <v>0</v>
      </c>
      <c r="K138" s="330">
        <f>MAX(-0.75*(SUM('Resultater detaljert Bygg'!F138:J138)),-'Inndata Bygg'!O141*'Inndata Bygg'!Q141)</f>
        <v>0</v>
      </c>
      <c r="L138" s="330">
        <f>'Inndata Bygg'!S141*'Inndata Bygg'!T141</f>
        <v>0</v>
      </c>
      <c r="M138" s="330">
        <f>MAX(-0.75*(SUM('Resultater detaljert Bygg'!F138:I138,L138)),-'Inndata Bygg'!S141*'Inndata Bygg'!U141)</f>
        <v>0</v>
      </c>
      <c r="N138" s="331">
        <f>'Inndata Bygg'!F141</f>
        <v>0</v>
      </c>
      <c r="O138" s="330">
        <f>'Inndata Bygg'!O141*'Inndata Bygg'!R141</f>
        <v>0</v>
      </c>
      <c r="P138" s="332">
        <f>'Inndata Bygg'!S141*'Inndata Bygg'!V141</f>
        <v>0</v>
      </c>
      <c r="Q138" s="493">
        <f>SUM(F138:J138,L138)*'Inndata Bygg'!K141</f>
        <v>0</v>
      </c>
      <c r="R138" s="333">
        <f>(K138+M138)*'Inndata Bygg'!K141</f>
        <v>0</v>
      </c>
      <c r="S138" s="493">
        <f>N138*'Inndata Bygg'!K141</f>
        <v>0</v>
      </c>
      <c r="T138" s="494">
        <f>'Inndata Bygg'!G141*'Inndata Bygg'!K141*Transport_utslipp_til_avfallshånderting_per_kg</f>
        <v>0</v>
      </c>
      <c r="U138" s="330">
        <f>IF('Inndata Bygg'!E141 = 0, 0, 1.833*'Inndata Bygg'!X141*'Inndata Bygg'!K141*('Inndata Bygg'!G141*('Inndata Bygg'!L141*0.5+'Inndata Bygg'!M141*0.8) + (12/44)*('Inndata Bygg'!O141*'Inndata Bygg'!Q141+'Inndata Bygg'!S141*'Inndata Bygg'!U141)))</f>
        <v>0</v>
      </c>
      <c r="V138" s="335" cm="1">
        <f t="array" ref="V138">CalculateBiogenicCarbonUptake('ZERO-B Beregning'!$D$17,'Inndata Bygg'!H141,'Inndata Bygg'!G141,'Inndata Bygg'!L141,F138,AB138,AC138,AD138)</f>
        <v>0</v>
      </c>
      <c r="W138" s="576" cm="1">
        <f t="array" ref="W138">CalculateCementCarbonUptake('ZERO-B Beregning'!$D$17,'Inndata Bygg'!H141,'Inndata Bygg'!G141,'Inndata Bygg'!N141)</f>
        <v>0</v>
      </c>
      <c r="X138" s="331" cm="1">
        <f t="array" ref="X138">IF(SUM(F138:J138,L138)=0, 0, SUM(F138:J138,L138)*(1+'Inndata Bygg'!K141)*IF('Inndata Bygg'!H141&gt;50, 0, _xlfn.XLOOKUP('Inndata Bygg'!H141, År_etter_ferdigstillelse, IF(VALUE(LEFT('Inndata Bygg'!B141, 2))= 49, f_tid_x_f_tek_d_0_037_kumulativ, f_tid_x_f_tek_d_0_01_kumulativ))))</f>
        <v>0</v>
      </c>
      <c r="Y138" s="330">
        <f>IF(X138=0, 0, SUM(K138,M138)*(1+'Inndata Bygg'!K141)*IF('Inndata Bygg'!H141&gt;50, 0, _xlfn.XLOOKUP('Inndata Bygg'!H141, År_etter_ferdigstillelse, f_tid_x_f_tek_d_0_01_kumulativ)))</f>
        <v>0</v>
      </c>
      <c r="Z138" s="336">
        <f>IF(X138=0, 0, SUM(N138:P138)*(1+'Inndata Bygg'!K141)*IF('Inndata Bygg'!H141&gt;50, 0, _xlfn.XLOOKUP('Inndata Bygg'!H141, År_etter_ferdigstillelse, f_tid_x_f_tek_d_0_01_kumulativ)))</f>
        <v>0</v>
      </c>
      <c r="AA138" s="336">
        <f>IF(X138=0, 0, ('Inndata Bygg'!G141+'Inndata Bygg'!O141+'Inndata Bygg'!S141)*(1+'Inndata Bygg'!K141)*Transport_utslipp_til_avfallshånderting_per_kg*IF('Inndata Bygg'!H141&gt;50, 0, _xlfn.XLOOKUP('Inndata Bygg'!H141, År_etter_ferdigstillelse, f_tid_x_f_tek_d_0_01_kumulativ)))</f>
        <v>0</v>
      </c>
      <c r="AB138" s="580" cm="1">
        <f t="array" ref="AB138">CalculateEmissionsFromIncinerationOfWaste('ZERO-B Beregning'!$D$17,'Inndata Bygg'!H141,'Inndata Bygg'!G141,'Inndata Bygg'!X141,'Inndata Bygg'!L141,'Inndata Bygg'!M141,'Inndata Bygg'!B141)</f>
        <v>0</v>
      </c>
      <c r="AC138" s="335">
        <f>IF(('Inndata Bygg'!G141+'Inndata Bygg'!O141+'Inndata Bygg'!S141) = 0, 0,('Inndata Bygg'!G141+'Inndata Bygg'!O141+'Inndata Bygg'!S141)*(('Inndata Bygg'!X141+'Inndata Bygg'!Y141+'Inndata Bygg'!AA141)*Transport_utslipp_til_avfallshånderting_per_kg+('Inndata Bygg'!Z141*'ZERO-B Beregning'!D240/1000)*IF('ZERO-B Beregning'!F241=0,'ZERO-B Beregning'!D241,'ZERO-B Beregning'!F241))*_xlfn.XLOOKUP(51, År_etter_ferdigstillelse, f_tid_x_f_tek_d_0_01))</f>
        <v>0</v>
      </c>
      <c r="AD138" s="577">
        <f>IF(('Inndata Bygg'!G141+'Inndata Bygg'!O141+'Inndata Bygg'!S141) = 0, 0,1.833*('Inndata Bygg'!G141*('Inndata Bygg'!L141*0.5+'Inndata Bygg'!M141*0.8)+'Inndata Bygg'!O141*'Inndata Bygg'!Q141+'Inndata Bygg'!S141*'Inndata Bygg'!U141)*AG138*_xlfn.XLOOKUP(51, År_etter_ferdigstillelse,  f_tid_x_f_tek_d_0_01))</f>
        <v>0</v>
      </c>
      <c r="AE138" s="575" cm="1">
        <f t="array" ref="AE138">CalculateEmissionsReductionFromReuse('ZERO-B Beregning'!$D$17,'Inndata Bygg'!H141,'Inndata Bygg'!G141,'Inndata Bygg'!Z141,'Inndata Bygg'!X141,'Inndata Bygg'!Y141,F138,'Inndata Bygg'!B141)</f>
        <v>0</v>
      </c>
      <c r="AF138" s="333" cm="1">
        <f t="array" ref="AF138">CalculateEmissionReductionFromRecycling('ZERO-B Beregning'!$D$17,'Inndata Bygg'!H141,'Inndata Bygg'!G141,'Inndata Bygg'!AA141,'Inndata Bygg'!X141,'Inndata Bygg'!Y141,F138,'Inndata Bygg'!B141)</f>
        <v>0</v>
      </c>
      <c r="AG138" s="572">
        <f>IF(('Inndata Bygg'!G141+'Inndata Bygg'!O141+'Inndata Bygg'!S141) = 0, 0,'Inndata Bygg'!X141*Faktorer!$Z$58)</f>
        <v>0</v>
      </c>
      <c r="AH138" s="573">
        <f>IF(('Inndata Bygg'!G141+'Inndata Bygg'!O141+'Inndata Bygg'!S141) = 0, 0,'Inndata Bygg'!Z141+('Inndata Bygg'!X141+'Inndata Bygg'!Y141)*(1-Faktorer!$Z$58)*0.5)</f>
        <v>0</v>
      </c>
      <c r="AI138" s="574">
        <f>IF(('Inndata Bygg'!G141+'Inndata Bygg'!O141+'Inndata Bygg'!S141) = 0, 0,'Inndata Bygg'!AA141+('Inndata Bygg'!X141+'Inndata Bygg'!Y141)*(1-Faktorer!$Z$58)*0.5)</f>
        <v>0</v>
      </c>
      <c r="AJ138" s="634"/>
      <c r="AK138" s="90">
        <f t="shared" si="3"/>
        <v>0</v>
      </c>
      <c r="AL138" s="91">
        <f>'Resultater detaljert Bygg'!N138</f>
        <v>0</v>
      </c>
      <c r="AM138" s="91" t="str">
        <f>IF(F138=0,"",('Inndata Bygg'!E141+'Inndata Bygg'!F141)*ROUNDDOWN('Inndata Bygg'!I141,0)*(1+'Inndata Bygg'!K141))</f>
        <v/>
      </c>
    </row>
    <row r="139" spans="2:39">
      <c r="B139" s="339">
        <f>'Inndata Bygg'!B142</f>
        <v>0</v>
      </c>
      <c r="C139" s="340">
        <f>'Inndata Bygg'!C142</f>
        <v>0</v>
      </c>
      <c r="D139" s="341">
        <f>'Inndata Bygg'!D142</f>
        <v>0</v>
      </c>
      <c r="E139" s="421" cm="1">
        <f t="array" ref="E139">SUM(IFERROR(F139:AD139,0))</f>
        <v>0</v>
      </c>
      <c r="F139" s="330">
        <f>'Inndata Bygg'!E142</f>
        <v>0</v>
      </c>
      <c r="G139" s="330">
        <f>IF('Inndata Bygg'!AB142="Ja", -0.8*'Resultater detaljert Bygg'!F139, 0)</f>
        <v>0</v>
      </c>
      <c r="H139" s="330">
        <f>IF('Inndata Bygg'!AC142="Ja", -0.4*'Resultater detaljert Bygg'!$F139, 0)</f>
        <v>0</v>
      </c>
      <c r="I139" s="330">
        <f>IF('Inndata Bygg'!AD142="Ja", -1*'Resultater detaljert Bygg'!$F139, 0)</f>
        <v>0</v>
      </c>
      <c r="J139" s="330">
        <f>'Inndata Bygg'!O142*'Inndata Bygg'!P142</f>
        <v>0</v>
      </c>
      <c r="K139" s="330">
        <f>MAX(-0.75*(SUM('Resultater detaljert Bygg'!F139:J139)),-'Inndata Bygg'!O142*'Inndata Bygg'!Q142)</f>
        <v>0</v>
      </c>
      <c r="L139" s="330">
        <f>'Inndata Bygg'!S142*'Inndata Bygg'!T142</f>
        <v>0</v>
      </c>
      <c r="M139" s="330">
        <f>MAX(-0.75*(SUM('Resultater detaljert Bygg'!F139:I139,L139)),-'Inndata Bygg'!S142*'Inndata Bygg'!U142)</f>
        <v>0</v>
      </c>
      <c r="N139" s="331">
        <f>'Inndata Bygg'!F142</f>
        <v>0</v>
      </c>
      <c r="O139" s="330">
        <f>'Inndata Bygg'!O142*'Inndata Bygg'!R142</f>
        <v>0</v>
      </c>
      <c r="P139" s="332">
        <f>'Inndata Bygg'!S142*'Inndata Bygg'!V142</f>
        <v>0</v>
      </c>
      <c r="Q139" s="493">
        <f>SUM(F139:J139,L139)*'Inndata Bygg'!K142</f>
        <v>0</v>
      </c>
      <c r="R139" s="333">
        <f>(K139+M139)*'Inndata Bygg'!K142</f>
        <v>0</v>
      </c>
      <c r="S139" s="493">
        <f>N139*'Inndata Bygg'!K142</f>
        <v>0</v>
      </c>
      <c r="T139" s="494">
        <f>'Inndata Bygg'!G142*'Inndata Bygg'!K142*Transport_utslipp_til_avfallshånderting_per_kg</f>
        <v>0</v>
      </c>
      <c r="U139" s="330">
        <f>IF('Inndata Bygg'!E142 = 0, 0, 1.833*'Inndata Bygg'!X142*'Inndata Bygg'!K142*('Inndata Bygg'!G142*('Inndata Bygg'!L142*0.5+'Inndata Bygg'!M142*0.8) + (12/44)*('Inndata Bygg'!O142*'Inndata Bygg'!Q142+'Inndata Bygg'!S142*'Inndata Bygg'!U142)))</f>
        <v>0</v>
      </c>
      <c r="V139" s="335" cm="1">
        <f t="array" ref="V139">CalculateBiogenicCarbonUptake('ZERO-B Beregning'!$D$17,'Inndata Bygg'!H142,'Inndata Bygg'!G142,'Inndata Bygg'!L142,F139,AB139,AC139,AD139)</f>
        <v>0</v>
      </c>
      <c r="W139" s="576" cm="1">
        <f t="array" ref="W139">CalculateCementCarbonUptake('ZERO-B Beregning'!$D$17,'Inndata Bygg'!H142,'Inndata Bygg'!G142,'Inndata Bygg'!N142)</f>
        <v>0</v>
      </c>
      <c r="X139" s="331" cm="1">
        <f t="array" ref="X139">IF(SUM(F139:J139,L139)=0, 0, SUM(F139:J139,L139)*(1+'Inndata Bygg'!K142)*IF('Inndata Bygg'!H142&gt;50, 0, _xlfn.XLOOKUP('Inndata Bygg'!H142, År_etter_ferdigstillelse, IF(VALUE(LEFT('Inndata Bygg'!B142, 2))= 49, f_tid_x_f_tek_d_0_037_kumulativ, f_tid_x_f_tek_d_0_01_kumulativ))))</f>
        <v>0</v>
      </c>
      <c r="Y139" s="330">
        <f>IF(X139=0, 0, SUM(K139,M139)*(1+'Inndata Bygg'!K142)*IF('Inndata Bygg'!H142&gt;50, 0, _xlfn.XLOOKUP('Inndata Bygg'!H142, År_etter_ferdigstillelse, f_tid_x_f_tek_d_0_01_kumulativ)))</f>
        <v>0</v>
      </c>
      <c r="Z139" s="336">
        <f>IF(X139=0, 0, SUM(N139:P139)*(1+'Inndata Bygg'!K142)*IF('Inndata Bygg'!H142&gt;50, 0, _xlfn.XLOOKUP('Inndata Bygg'!H142, År_etter_ferdigstillelse, f_tid_x_f_tek_d_0_01_kumulativ)))</f>
        <v>0</v>
      </c>
      <c r="AA139" s="336">
        <f>IF(X139=0, 0, ('Inndata Bygg'!G142+'Inndata Bygg'!O142+'Inndata Bygg'!S142)*(1+'Inndata Bygg'!K142)*Transport_utslipp_til_avfallshånderting_per_kg*IF('Inndata Bygg'!H142&gt;50, 0, _xlfn.XLOOKUP('Inndata Bygg'!H142, År_etter_ferdigstillelse, f_tid_x_f_tek_d_0_01_kumulativ)))</f>
        <v>0</v>
      </c>
      <c r="AB139" s="580" cm="1">
        <f t="array" ref="AB139">CalculateEmissionsFromIncinerationOfWaste('ZERO-B Beregning'!$D$17,'Inndata Bygg'!H142,'Inndata Bygg'!G142,'Inndata Bygg'!X142,'Inndata Bygg'!L142,'Inndata Bygg'!M142,'Inndata Bygg'!B142)</f>
        <v>0</v>
      </c>
      <c r="AC139" s="335">
        <f>IF(('Inndata Bygg'!G142+'Inndata Bygg'!O142+'Inndata Bygg'!S142) = 0, 0,('Inndata Bygg'!G142+'Inndata Bygg'!O142+'Inndata Bygg'!S142)*(('Inndata Bygg'!X142+'Inndata Bygg'!Y142+'Inndata Bygg'!AA142)*Transport_utslipp_til_avfallshånderting_per_kg+('Inndata Bygg'!Z142*'ZERO-B Beregning'!D241/1000)*IF('ZERO-B Beregning'!F242=0,'ZERO-B Beregning'!D242,'ZERO-B Beregning'!F242))*_xlfn.XLOOKUP(51, År_etter_ferdigstillelse, f_tid_x_f_tek_d_0_01))</f>
        <v>0</v>
      </c>
      <c r="AD139" s="577">
        <f>IF(('Inndata Bygg'!G142+'Inndata Bygg'!O142+'Inndata Bygg'!S142) = 0, 0,1.833*('Inndata Bygg'!G142*('Inndata Bygg'!L142*0.5+'Inndata Bygg'!M142*0.8)+'Inndata Bygg'!O142*'Inndata Bygg'!Q142+'Inndata Bygg'!S142*'Inndata Bygg'!U142)*AG139*_xlfn.XLOOKUP(51, År_etter_ferdigstillelse,  f_tid_x_f_tek_d_0_01))</f>
        <v>0</v>
      </c>
      <c r="AE139" s="575" cm="1">
        <f t="array" ref="AE139">CalculateEmissionsReductionFromReuse('ZERO-B Beregning'!$D$17,'Inndata Bygg'!H142,'Inndata Bygg'!G142,'Inndata Bygg'!Z142,'Inndata Bygg'!X142,'Inndata Bygg'!Y142,F139,'Inndata Bygg'!B142)</f>
        <v>0</v>
      </c>
      <c r="AF139" s="333" cm="1">
        <f t="array" ref="AF139">CalculateEmissionReductionFromRecycling('ZERO-B Beregning'!$D$17,'Inndata Bygg'!H142,'Inndata Bygg'!G142,'Inndata Bygg'!AA142,'Inndata Bygg'!X142,'Inndata Bygg'!Y142,F139,'Inndata Bygg'!B142)</f>
        <v>0</v>
      </c>
      <c r="AG139" s="572">
        <f>IF(('Inndata Bygg'!G142+'Inndata Bygg'!O142+'Inndata Bygg'!S142) = 0, 0,'Inndata Bygg'!X142*Faktorer!$Z$58)</f>
        <v>0</v>
      </c>
      <c r="AH139" s="573">
        <f>IF(('Inndata Bygg'!G142+'Inndata Bygg'!O142+'Inndata Bygg'!S142) = 0, 0,'Inndata Bygg'!Z142+('Inndata Bygg'!X142+'Inndata Bygg'!Y142)*(1-Faktorer!$Z$58)*0.5)</f>
        <v>0</v>
      </c>
      <c r="AI139" s="574">
        <f>IF(('Inndata Bygg'!G142+'Inndata Bygg'!O142+'Inndata Bygg'!S142) = 0, 0,'Inndata Bygg'!AA142+('Inndata Bygg'!X142+'Inndata Bygg'!Y142)*(1-Faktorer!$Z$58)*0.5)</f>
        <v>0</v>
      </c>
      <c r="AJ139" s="634"/>
      <c r="AK139" s="90">
        <f t="shared" si="3"/>
        <v>0</v>
      </c>
      <c r="AL139" s="91">
        <f>'Resultater detaljert Bygg'!N139</f>
        <v>0</v>
      </c>
      <c r="AM139" s="91" t="str">
        <f>IF(F139=0,"",('Inndata Bygg'!E142+'Inndata Bygg'!F142)*ROUNDDOWN('Inndata Bygg'!I142,0)*(1+'Inndata Bygg'!K142))</f>
        <v/>
      </c>
    </row>
    <row r="140" spans="2:39">
      <c r="B140" s="339">
        <f>'Inndata Bygg'!B143</f>
        <v>0</v>
      </c>
      <c r="C140" s="340">
        <f>'Inndata Bygg'!C143</f>
        <v>0</v>
      </c>
      <c r="D140" s="341">
        <f>'Inndata Bygg'!D143</f>
        <v>0</v>
      </c>
      <c r="E140" s="421" cm="1">
        <f t="array" ref="E140">SUM(IFERROR(F140:AD140,0))</f>
        <v>0</v>
      </c>
      <c r="F140" s="330">
        <f>'Inndata Bygg'!E143</f>
        <v>0</v>
      </c>
      <c r="G140" s="330">
        <f>IF('Inndata Bygg'!AB143="Ja", -0.8*'Resultater detaljert Bygg'!F140, 0)</f>
        <v>0</v>
      </c>
      <c r="H140" s="330">
        <f>IF('Inndata Bygg'!AC143="Ja", -0.4*'Resultater detaljert Bygg'!$F140, 0)</f>
        <v>0</v>
      </c>
      <c r="I140" s="330">
        <f>IF('Inndata Bygg'!AD143="Ja", -1*'Resultater detaljert Bygg'!$F140, 0)</f>
        <v>0</v>
      </c>
      <c r="J140" s="330">
        <f>'Inndata Bygg'!O143*'Inndata Bygg'!P143</f>
        <v>0</v>
      </c>
      <c r="K140" s="330">
        <f>MAX(-0.75*(SUM('Resultater detaljert Bygg'!F140:J140)),-'Inndata Bygg'!O143*'Inndata Bygg'!Q143)</f>
        <v>0</v>
      </c>
      <c r="L140" s="330">
        <f>'Inndata Bygg'!S143*'Inndata Bygg'!T143</f>
        <v>0</v>
      </c>
      <c r="M140" s="330">
        <f>MAX(-0.75*(SUM('Resultater detaljert Bygg'!F140:I140,L140)),-'Inndata Bygg'!S143*'Inndata Bygg'!U143)</f>
        <v>0</v>
      </c>
      <c r="N140" s="331">
        <f>'Inndata Bygg'!F143</f>
        <v>0</v>
      </c>
      <c r="O140" s="330">
        <f>'Inndata Bygg'!O143*'Inndata Bygg'!R143</f>
        <v>0</v>
      </c>
      <c r="P140" s="332">
        <f>'Inndata Bygg'!S143*'Inndata Bygg'!V143</f>
        <v>0</v>
      </c>
      <c r="Q140" s="493">
        <f>SUM(F140:J140,L140)*'Inndata Bygg'!K143</f>
        <v>0</v>
      </c>
      <c r="R140" s="333">
        <f>(K140+M140)*'Inndata Bygg'!K143</f>
        <v>0</v>
      </c>
      <c r="S140" s="493">
        <f>N140*'Inndata Bygg'!K143</f>
        <v>0</v>
      </c>
      <c r="T140" s="494">
        <f>'Inndata Bygg'!G143*'Inndata Bygg'!K143*Transport_utslipp_til_avfallshånderting_per_kg</f>
        <v>0</v>
      </c>
      <c r="U140" s="330">
        <f>IF('Inndata Bygg'!E143 = 0, 0, 1.833*'Inndata Bygg'!X143*'Inndata Bygg'!K143*('Inndata Bygg'!G143*('Inndata Bygg'!L143*0.5+'Inndata Bygg'!M143*0.8) + (12/44)*('Inndata Bygg'!O143*'Inndata Bygg'!Q143+'Inndata Bygg'!S143*'Inndata Bygg'!U143)))</f>
        <v>0</v>
      </c>
      <c r="V140" s="335" cm="1">
        <f t="array" ref="V140">CalculateBiogenicCarbonUptake('ZERO-B Beregning'!$D$17,'Inndata Bygg'!H143,'Inndata Bygg'!G143,'Inndata Bygg'!L143,F140,AB140,AC140,AD140)</f>
        <v>0</v>
      </c>
      <c r="W140" s="576" cm="1">
        <f t="array" ref="W140">CalculateCementCarbonUptake('ZERO-B Beregning'!$D$17,'Inndata Bygg'!H143,'Inndata Bygg'!G143,'Inndata Bygg'!N143)</f>
        <v>0</v>
      </c>
      <c r="X140" s="331" cm="1">
        <f t="array" ref="X140">IF(SUM(F140:J140,L140)=0, 0, SUM(F140:J140,L140)*(1+'Inndata Bygg'!K143)*IF('Inndata Bygg'!H143&gt;50, 0, _xlfn.XLOOKUP('Inndata Bygg'!H143, År_etter_ferdigstillelse, IF(VALUE(LEFT('Inndata Bygg'!B143, 2))= 49, f_tid_x_f_tek_d_0_037_kumulativ, f_tid_x_f_tek_d_0_01_kumulativ))))</f>
        <v>0</v>
      </c>
      <c r="Y140" s="330">
        <f>IF(X140=0, 0, SUM(K140,M140)*(1+'Inndata Bygg'!K143)*IF('Inndata Bygg'!H143&gt;50, 0, _xlfn.XLOOKUP('Inndata Bygg'!H143, År_etter_ferdigstillelse, f_tid_x_f_tek_d_0_01_kumulativ)))</f>
        <v>0</v>
      </c>
      <c r="Z140" s="336">
        <f>IF(X140=0, 0, SUM(N140:P140)*(1+'Inndata Bygg'!K143)*IF('Inndata Bygg'!H143&gt;50, 0, _xlfn.XLOOKUP('Inndata Bygg'!H143, År_etter_ferdigstillelse, f_tid_x_f_tek_d_0_01_kumulativ)))</f>
        <v>0</v>
      </c>
      <c r="AA140" s="336">
        <f>IF(X140=0, 0, ('Inndata Bygg'!G143+'Inndata Bygg'!O143+'Inndata Bygg'!S143)*(1+'Inndata Bygg'!K143)*Transport_utslipp_til_avfallshånderting_per_kg*IF('Inndata Bygg'!H143&gt;50, 0, _xlfn.XLOOKUP('Inndata Bygg'!H143, År_etter_ferdigstillelse, f_tid_x_f_tek_d_0_01_kumulativ)))</f>
        <v>0</v>
      </c>
      <c r="AB140" s="580" cm="1">
        <f t="array" ref="AB140">CalculateEmissionsFromIncinerationOfWaste('ZERO-B Beregning'!$D$17,'Inndata Bygg'!H143,'Inndata Bygg'!G143,'Inndata Bygg'!X143,'Inndata Bygg'!L143,'Inndata Bygg'!M143,'Inndata Bygg'!B143)</f>
        <v>0</v>
      </c>
      <c r="AC140" s="335">
        <f>IF(('Inndata Bygg'!G143+'Inndata Bygg'!O143+'Inndata Bygg'!S143) = 0, 0,('Inndata Bygg'!G143+'Inndata Bygg'!O143+'Inndata Bygg'!S143)*(('Inndata Bygg'!X143+'Inndata Bygg'!Y143+'Inndata Bygg'!AA143)*Transport_utslipp_til_avfallshånderting_per_kg+('Inndata Bygg'!Z143*'ZERO-B Beregning'!D242/1000)*IF('ZERO-B Beregning'!F243=0,'ZERO-B Beregning'!D243,'ZERO-B Beregning'!F243))*_xlfn.XLOOKUP(51, År_etter_ferdigstillelse, f_tid_x_f_tek_d_0_01))</f>
        <v>0</v>
      </c>
      <c r="AD140" s="577">
        <f>IF(('Inndata Bygg'!G143+'Inndata Bygg'!O143+'Inndata Bygg'!S143) = 0, 0,1.833*('Inndata Bygg'!G143*('Inndata Bygg'!L143*0.5+'Inndata Bygg'!M143*0.8)+'Inndata Bygg'!O143*'Inndata Bygg'!Q143+'Inndata Bygg'!S143*'Inndata Bygg'!U143)*AG140*_xlfn.XLOOKUP(51, År_etter_ferdigstillelse,  f_tid_x_f_tek_d_0_01))</f>
        <v>0</v>
      </c>
      <c r="AE140" s="575" cm="1">
        <f t="array" ref="AE140">CalculateEmissionsReductionFromReuse('ZERO-B Beregning'!$D$17,'Inndata Bygg'!H143,'Inndata Bygg'!G143,'Inndata Bygg'!Z143,'Inndata Bygg'!X143,'Inndata Bygg'!Y143,F140,'Inndata Bygg'!B143)</f>
        <v>0</v>
      </c>
      <c r="AF140" s="333" cm="1">
        <f t="array" ref="AF140">CalculateEmissionReductionFromRecycling('ZERO-B Beregning'!$D$17,'Inndata Bygg'!H143,'Inndata Bygg'!G143,'Inndata Bygg'!AA143,'Inndata Bygg'!X143,'Inndata Bygg'!Y143,F140,'Inndata Bygg'!B143)</f>
        <v>0</v>
      </c>
      <c r="AG140" s="572">
        <f>IF(('Inndata Bygg'!G143+'Inndata Bygg'!O143+'Inndata Bygg'!S143) = 0, 0,'Inndata Bygg'!X143*Faktorer!$Z$58)</f>
        <v>0</v>
      </c>
      <c r="AH140" s="573">
        <f>IF(('Inndata Bygg'!G143+'Inndata Bygg'!O143+'Inndata Bygg'!S143) = 0, 0,'Inndata Bygg'!Z143+('Inndata Bygg'!X143+'Inndata Bygg'!Y143)*(1-Faktorer!$Z$58)*0.5)</f>
        <v>0</v>
      </c>
      <c r="AI140" s="574">
        <f>IF(('Inndata Bygg'!G143+'Inndata Bygg'!O143+'Inndata Bygg'!S143) = 0, 0,'Inndata Bygg'!AA143+('Inndata Bygg'!X143+'Inndata Bygg'!Y143)*(1-Faktorer!$Z$58)*0.5)</f>
        <v>0</v>
      </c>
      <c r="AJ140" s="634"/>
      <c r="AK140" s="90">
        <f t="shared" si="3"/>
        <v>0</v>
      </c>
      <c r="AL140" s="91">
        <f>'Resultater detaljert Bygg'!N140</f>
        <v>0</v>
      </c>
      <c r="AM140" s="91" t="str">
        <f>IF(F140=0,"",('Inndata Bygg'!E143+'Inndata Bygg'!F143)*ROUNDDOWN('Inndata Bygg'!I143,0)*(1+'Inndata Bygg'!K143))</f>
        <v/>
      </c>
    </row>
    <row r="141" spans="2:39">
      <c r="B141" s="339">
        <f>'Inndata Bygg'!B144</f>
        <v>0</v>
      </c>
      <c r="C141" s="340">
        <f>'Inndata Bygg'!C144</f>
        <v>0</v>
      </c>
      <c r="D141" s="341">
        <f>'Inndata Bygg'!D144</f>
        <v>0</v>
      </c>
      <c r="E141" s="421" cm="1">
        <f t="array" ref="E141">SUM(IFERROR(F141:AD141,0))</f>
        <v>0</v>
      </c>
      <c r="F141" s="330">
        <f>'Inndata Bygg'!E144</f>
        <v>0</v>
      </c>
      <c r="G141" s="330">
        <f>IF('Inndata Bygg'!AB144="Ja", -0.8*'Resultater detaljert Bygg'!F141, 0)</f>
        <v>0</v>
      </c>
      <c r="H141" s="330">
        <f>IF('Inndata Bygg'!AC144="Ja", -0.4*'Resultater detaljert Bygg'!$F141, 0)</f>
        <v>0</v>
      </c>
      <c r="I141" s="330">
        <f>IF('Inndata Bygg'!AD144="Ja", -1*'Resultater detaljert Bygg'!$F141, 0)</f>
        <v>0</v>
      </c>
      <c r="J141" s="330">
        <f>'Inndata Bygg'!O144*'Inndata Bygg'!P144</f>
        <v>0</v>
      </c>
      <c r="K141" s="330">
        <f>MAX(-0.75*(SUM('Resultater detaljert Bygg'!F141:J141)),-'Inndata Bygg'!O144*'Inndata Bygg'!Q144)</f>
        <v>0</v>
      </c>
      <c r="L141" s="330">
        <f>'Inndata Bygg'!S144*'Inndata Bygg'!T144</f>
        <v>0</v>
      </c>
      <c r="M141" s="330">
        <f>MAX(-0.75*(SUM('Resultater detaljert Bygg'!F141:I141,L141)),-'Inndata Bygg'!S144*'Inndata Bygg'!U144)</f>
        <v>0</v>
      </c>
      <c r="N141" s="331">
        <f>'Inndata Bygg'!F144</f>
        <v>0</v>
      </c>
      <c r="O141" s="330">
        <f>'Inndata Bygg'!O144*'Inndata Bygg'!R144</f>
        <v>0</v>
      </c>
      <c r="P141" s="332">
        <f>'Inndata Bygg'!S144*'Inndata Bygg'!V144</f>
        <v>0</v>
      </c>
      <c r="Q141" s="493">
        <f>SUM(F141:J141,L141)*'Inndata Bygg'!K144</f>
        <v>0</v>
      </c>
      <c r="R141" s="333">
        <f>(K141+M141)*'Inndata Bygg'!K144</f>
        <v>0</v>
      </c>
      <c r="S141" s="493">
        <f>N141*'Inndata Bygg'!K144</f>
        <v>0</v>
      </c>
      <c r="T141" s="494">
        <f>'Inndata Bygg'!G144*'Inndata Bygg'!K144*Transport_utslipp_til_avfallshånderting_per_kg</f>
        <v>0</v>
      </c>
      <c r="U141" s="330">
        <f>IF('Inndata Bygg'!E144 = 0, 0, 1.833*'Inndata Bygg'!X144*'Inndata Bygg'!K144*('Inndata Bygg'!G144*('Inndata Bygg'!L144*0.5+'Inndata Bygg'!M144*0.8) + (12/44)*('Inndata Bygg'!O144*'Inndata Bygg'!Q144+'Inndata Bygg'!S144*'Inndata Bygg'!U144)))</f>
        <v>0</v>
      </c>
      <c r="V141" s="335" cm="1">
        <f t="array" ref="V141">CalculateBiogenicCarbonUptake('ZERO-B Beregning'!$D$17,'Inndata Bygg'!H144,'Inndata Bygg'!G144,'Inndata Bygg'!L144,F141,AB141,AC141,AD141)</f>
        <v>0</v>
      </c>
      <c r="W141" s="576" cm="1">
        <f t="array" ref="W141">CalculateCementCarbonUptake('ZERO-B Beregning'!$D$17,'Inndata Bygg'!H144,'Inndata Bygg'!G144,'Inndata Bygg'!N144)</f>
        <v>0</v>
      </c>
      <c r="X141" s="331" cm="1">
        <f t="array" ref="X141">IF(SUM(F141:J141,L141)=0, 0, SUM(F141:J141,L141)*(1+'Inndata Bygg'!K144)*IF('Inndata Bygg'!H144&gt;50, 0, _xlfn.XLOOKUP('Inndata Bygg'!H144, År_etter_ferdigstillelse, IF(VALUE(LEFT('Inndata Bygg'!B144, 2))= 49, f_tid_x_f_tek_d_0_037_kumulativ, f_tid_x_f_tek_d_0_01_kumulativ))))</f>
        <v>0</v>
      </c>
      <c r="Y141" s="330">
        <f>IF(X141=0, 0, SUM(K141,M141)*(1+'Inndata Bygg'!K144)*IF('Inndata Bygg'!H144&gt;50, 0, _xlfn.XLOOKUP('Inndata Bygg'!H144, År_etter_ferdigstillelse, f_tid_x_f_tek_d_0_01_kumulativ)))</f>
        <v>0</v>
      </c>
      <c r="Z141" s="336">
        <f>IF(X141=0, 0, SUM(N141:P141)*(1+'Inndata Bygg'!K144)*IF('Inndata Bygg'!H144&gt;50, 0, _xlfn.XLOOKUP('Inndata Bygg'!H144, År_etter_ferdigstillelse, f_tid_x_f_tek_d_0_01_kumulativ)))</f>
        <v>0</v>
      </c>
      <c r="AA141" s="336">
        <f>IF(X141=0, 0, ('Inndata Bygg'!G144+'Inndata Bygg'!O144+'Inndata Bygg'!S144)*(1+'Inndata Bygg'!K144)*Transport_utslipp_til_avfallshånderting_per_kg*IF('Inndata Bygg'!H144&gt;50, 0, _xlfn.XLOOKUP('Inndata Bygg'!H144, År_etter_ferdigstillelse, f_tid_x_f_tek_d_0_01_kumulativ)))</f>
        <v>0</v>
      </c>
      <c r="AB141" s="580" cm="1">
        <f t="array" ref="AB141">CalculateEmissionsFromIncinerationOfWaste('ZERO-B Beregning'!$D$17,'Inndata Bygg'!H144,'Inndata Bygg'!G144,'Inndata Bygg'!X144,'Inndata Bygg'!L144,'Inndata Bygg'!M144,'Inndata Bygg'!B144)</f>
        <v>0</v>
      </c>
      <c r="AC141" s="335">
        <f>IF(('Inndata Bygg'!G144+'Inndata Bygg'!O144+'Inndata Bygg'!S144) = 0, 0,('Inndata Bygg'!G144+'Inndata Bygg'!O144+'Inndata Bygg'!S144)*(('Inndata Bygg'!X144+'Inndata Bygg'!Y144+'Inndata Bygg'!AA144)*Transport_utslipp_til_avfallshånderting_per_kg+('Inndata Bygg'!Z144*'ZERO-B Beregning'!D243/1000)*IF('ZERO-B Beregning'!F244=0,'ZERO-B Beregning'!D244,'ZERO-B Beregning'!F244))*_xlfn.XLOOKUP(51, År_etter_ferdigstillelse, f_tid_x_f_tek_d_0_01))</f>
        <v>0</v>
      </c>
      <c r="AD141" s="577">
        <f>IF(('Inndata Bygg'!G144+'Inndata Bygg'!O144+'Inndata Bygg'!S144) = 0, 0,1.833*('Inndata Bygg'!G144*('Inndata Bygg'!L144*0.5+'Inndata Bygg'!M144*0.8)+'Inndata Bygg'!O144*'Inndata Bygg'!Q144+'Inndata Bygg'!S144*'Inndata Bygg'!U144)*AG141*_xlfn.XLOOKUP(51, År_etter_ferdigstillelse,  f_tid_x_f_tek_d_0_01))</f>
        <v>0</v>
      </c>
      <c r="AE141" s="575" cm="1">
        <f t="array" ref="AE141">CalculateEmissionsReductionFromReuse('ZERO-B Beregning'!$D$17,'Inndata Bygg'!H144,'Inndata Bygg'!G144,'Inndata Bygg'!Z144,'Inndata Bygg'!X144,'Inndata Bygg'!Y144,F141,'Inndata Bygg'!B144)</f>
        <v>0</v>
      </c>
      <c r="AF141" s="333" cm="1">
        <f t="array" ref="AF141">CalculateEmissionReductionFromRecycling('ZERO-B Beregning'!$D$17,'Inndata Bygg'!H144,'Inndata Bygg'!G144,'Inndata Bygg'!AA144,'Inndata Bygg'!X144,'Inndata Bygg'!Y144,F141,'Inndata Bygg'!B144)</f>
        <v>0</v>
      </c>
      <c r="AG141" s="572">
        <f>IF(('Inndata Bygg'!G144+'Inndata Bygg'!O144+'Inndata Bygg'!S144) = 0, 0,'Inndata Bygg'!X144*Faktorer!$Z$58)</f>
        <v>0</v>
      </c>
      <c r="AH141" s="573">
        <f>IF(('Inndata Bygg'!G144+'Inndata Bygg'!O144+'Inndata Bygg'!S144) = 0, 0,'Inndata Bygg'!Z144+('Inndata Bygg'!X144+'Inndata Bygg'!Y144)*(1-Faktorer!$Z$58)*0.5)</f>
        <v>0</v>
      </c>
      <c r="AI141" s="574">
        <f>IF(('Inndata Bygg'!G144+'Inndata Bygg'!O144+'Inndata Bygg'!S144) = 0, 0,'Inndata Bygg'!AA144+('Inndata Bygg'!X144+'Inndata Bygg'!Y144)*(1-Faktorer!$Z$58)*0.5)</f>
        <v>0</v>
      </c>
      <c r="AJ141" s="634"/>
      <c r="AK141" s="90">
        <f t="shared" si="3"/>
        <v>0</v>
      </c>
      <c r="AL141" s="91">
        <f>'Resultater detaljert Bygg'!N141</f>
        <v>0</v>
      </c>
      <c r="AM141" s="91" t="str">
        <f>IF(F141=0,"",('Inndata Bygg'!E144+'Inndata Bygg'!F144)*ROUNDDOWN('Inndata Bygg'!I144,0)*(1+'Inndata Bygg'!K144))</f>
        <v/>
      </c>
    </row>
    <row r="142" spans="2:39">
      <c r="B142" s="339">
        <f>'Inndata Bygg'!B145</f>
        <v>0</v>
      </c>
      <c r="C142" s="340">
        <f>'Inndata Bygg'!C145</f>
        <v>0</v>
      </c>
      <c r="D142" s="341">
        <f>'Inndata Bygg'!D145</f>
        <v>0</v>
      </c>
      <c r="E142" s="421" cm="1">
        <f t="array" ref="E142">SUM(IFERROR(F142:AD142,0))</f>
        <v>0</v>
      </c>
      <c r="F142" s="330">
        <f>'Inndata Bygg'!E145</f>
        <v>0</v>
      </c>
      <c r="G142" s="330">
        <f>IF('Inndata Bygg'!AB145="Ja", -0.8*'Resultater detaljert Bygg'!F142, 0)</f>
        <v>0</v>
      </c>
      <c r="H142" s="330">
        <f>IF('Inndata Bygg'!AC145="Ja", -0.4*'Resultater detaljert Bygg'!$F142, 0)</f>
        <v>0</v>
      </c>
      <c r="I142" s="330">
        <f>IF('Inndata Bygg'!AD145="Ja", -1*'Resultater detaljert Bygg'!$F142, 0)</f>
        <v>0</v>
      </c>
      <c r="J142" s="330">
        <f>'Inndata Bygg'!O145*'Inndata Bygg'!P145</f>
        <v>0</v>
      </c>
      <c r="K142" s="330">
        <f>MAX(-0.75*(SUM('Resultater detaljert Bygg'!F142:J142)),-'Inndata Bygg'!O145*'Inndata Bygg'!Q145)</f>
        <v>0</v>
      </c>
      <c r="L142" s="330">
        <f>'Inndata Bygg'!S145*'Inndata Bygg'!T145</f>
        <v>0</v>
      </c>
      <c r="M142" s="330">
        <f>MAX(-0.75*(SUM('Resultater detaljert Bygg'!F142:I142,L142)),-'Inndata Bygg'!S145*'Inndata Bygg'!U145)</f>
        <v>0</v>
      </c>
      <c r="N142" s="331">
        <f>'Inndata Bygg'!F145</f>
        <v>0</v>
      </c>
      <c r="O142" s="330">
        <f>'Inndata Bygg'!O145*'Inndata Bygg'!R145</f>
        <v>0</v>
      </c>
      <c r="P142" s="332">
        <f>'Inndata Bygg'!S145*'Inndata Bygg'!V145</f>
        <v>0</v>
      </c>
      <c r="Q142" s="493">
        <f>SUM(F142:J142,L142)*'Inndata Bygg'!K145</f>
        <v>0</v>
      </c>
      <c r="R142" s="333">
        <f>(K142+M142)*'Inndata Bygg'!K145</f>
        <v>0</v>
      </c>
      <c r="S142" s="493">
        <f>N142*'Inndata Bygg'!K145</f>
        <v>0</v>
      </c>
      <c r="T142" s="494">
        <f>'Inndata Bygg'!G145*'Inndata Bygg'!K145*Transport_utslipp_til_avfallshånderting_per_kg</f>
        <v>0</v>
      </c>
      <c r="U142" s="330">
        <f>IF('Inndata Bygg'!E145 = 0, 0, 1.833*'Inndata Bygg'!X145*'Inndata Bygg'!K145*('Inndata Bygg'!G145*('Inndata Bygg'!L145*0.5+'Inndata Bygg'!M145*0.8) + (12/44)*('Inndata Bygg'!O145*'Inndata Bygg'!Q145+'Inndata Bygg'!S145*'Inndata Bygg'!U145)))</f>
        <v>0</v>
      </c>
      <c r="V142" s="335" cm="1">
        <f t="array" ref="V142">CalculateBiogenicCarbonUptake('ZERO-B Beregning'!$D$17,'Inndata Bygg'!H145,'Inndata Bygg'!G145,'Inndata Bygg'!L145,F142,AB142,AC142,AD142)</f>
        <v>0</v>
      </c>
      <c r="W142" s="576" cm="1">
        <f t="array" ref="W142">CalculateCementCarbonUptake('ZERO-B Beregning'!$D$17,'Inndata Bygg'!H145,'Inndata Bygg'!G145,'Inndata Bygg'!N145)</f>
        <v>0</v>
      </c>
      <c r="X142" s="331" cm="1">
        <f t="array" ref="X142">IF(SUM(F142:J142,L142)=0, 0, SUM(F142:J142,L142)*(1+'Inndata Bygg'!K145)*IF('Inndata Bygg'!H145&gt;50, 0, _xlfn.XLOOKUP('Inndata Bygg'!H145, År_etter_ferdigstillelse, IF(VALUE(LEFT('Inndata Bygg'!B145, 2))= 49, f_tid_x_f_tek_d_0_037_kumulativ, f_tid_x_f_tek_d_0_01_kumulativ))))</f>
        <v>0</v>
      </c>
      <c r="Y142" s="330">
        <f>IF(X142=0, 0, SUM(K142,M142)*(1+'Inndata Bygg'!K145)*IF('Inndata Bygg'!H145&gt;50, 0, _xlfn.XLOOKUP('Inndata Bygg'!H145, År_etter_ferdigstillelse, f_tid_x_f_tek_d_0_01_kumulativ)))</f>
        <v>0</v>
      </c>
      <c r="Z142" s="336">
        <f>IF(X142=0, 0, SUM(N142:P142)*(1+'Inndata Bygg'!K145)*IF('Inndata Bygg'!H145&gt;50, 0, _xlfn.XLOOKUP('Inndata Bygg'!H145, År_etter_ferdigstillelse, f_tid_x_f_tek_d_0_01_kumulativ)))</f>
        <v>0</v>
      </c>
      <c r="AA142" s="336">
        <f>IF(X142=0, 0, ('Inndata Bygg'!G145+'Inndata Bygg'!O145+'Inndata Bygg'!S145)*(1+'Inndata Bygg'!K145)*Transport_utslipp_til_avfallshånderting_per_kg*IF('Inndata Bygg'!H145&gt;50, 0, _xlfn.XLOOKUP('Inndata Bygg'!H145, År_etter_ferdigstillelse, f_tid_x_f_tek_d_0_01_kumulativ)))</f>
        <v>0</v>
      </c>
      <c r="AB142" s="580" cm="1">
        <f t="array" ref="AB142">CalculateEmissionsFromIncinerationOfWaste('ZERO-B Beregning'!$D$17,'Inndata Bygg'!H145,'Inndata Bygg'!G145,'Inndata Bygg'!X145,'Inndata Bygg'!L145,'Inndata Bygg'!M145,'Inndata Bygg'!B145)</f>
        <v>0</v>
      </c>
      <c r="AC142" s="335">
        <f>IF(('Inndata Bygg'!G145+'Inndata Bygg'!O145+'Inndata Bygg'!S145) = 0, 0,('Inndata Bygg'!G145+'Inndata Bygg'!O145+'Inndata Bygg'!S145)*(('Inndata Bygg'!X145+'Inndata Bygg'!Y145+'Inndata Bygg'!AA145)*Transport_utslipp_til_avfallshånderting_per_kg+('Inndata Bygg'!Z145*'ZERO-B Beregning'!D244/1000)*IF('ZERO-B Beregning'!F245=0,'ZERO-B Beregning'!D245,'ZERO-B Beregning'!F245))*_xlfn.XLOOKUP(51, År_etter_ferdigstillelse, f_tid_x_f_tek_d_0_01))</f>
        <v>0</v>
      </c>
      <c r="AD142" s="577">
        <f>IF(('Inndata Bygg'!G145+'Inndata Bygg'!O145+'Inndata Bygg'!S145) = 0, 0,1.833*('Inndata Bygg'!G145*('Inndata Bygg'!L145*0.5+'Inndata Bygg'!M145*0.8)+'Inndata Bygg'!O145*'Inndata Bygg'!Q145+'Inndata Bygg'!S145*'Inndata Bygg'!U145)*AG142*_xlfn.XLOOKUP(51, År_etter_ferdigstillelse,  f_tid_x_f_tek_d_0_01))</f>
        <v>0</v>
      </c>
      <c r="AE142" s="575" cm="1">
        <f t="array" ref="AE142">CalculateEmissionsReductionFromReuse('ZERO-B Beregning'!$D$17,'Inndata Bygg'!H145,'Inndata Bygg'!G145,'Inndata Bygg'!Z145,'Inndata Bygg'!X145,'Inndata Bygg'!Y145,F142,'Inndata Bygg'!B145)</f>
        <v>0</v>
      </c>
      <c r="AF142" s="333" cm="1">
        <f t="array" ref="AF142">CalculateEmissionReductionFromRecycling('ZERO-B Beregning'!$D$17,'Inndata Bygg'!H145,'Inndata Bygg'!G145,'Inndata Bygg'!AA145,'Inndata Bygg'!X145,'Inndata Bygg'!Y145,F142,'Inndata Bygg'!B145)</f>
        <v>0</v>
      </c>
      <c r="AG142" s="572">
        <f>IF(('Inndata Bygg'!G145+'Inndata Bygg'!O145+'Inndata Bygg'!S145) = 0, 0,'Inndata Bygg'!X145*Faktorer!$Z$58)</f>
        <v>0</v>
      </c>
      <c r="AH142" s="573">
        <f>IF(('Inndata Bygg'!G145+'Inndata Bygg'!O145+'Inndata Bygg'!S145) = 0, 0,'Inndata Bygg'!Z145+('Inndata Bygg'!X145+'Inndata Bygg'!Y145)*(1-Faktorer!$Z$58)*0.5)</f>
        <v>0</v>
      </c>
      <c r="AI142" s="574">
        <f>IF(('Inndata Bygg'!G145+'Inndata Bygg'!O145+'Inndata Bygg'!S145) = 0, 0,'Inndata Bygg'!AA145+('Inndata Bygg'!X145+'Inndata Bygg'!Y145)*(1-Faktorer!$Z$58)*0.5)</f>
        <v>0</v>
      </c>
      <c r="AJ142" s="634"/>
      <c r="AK142" s="90">
        <f t="shared" ref="AK142:AK158" si="4">F142</f>
        <v>0</v>
      </c>
      <c r="AL142" s="91">
        <f>'Resultater detaljert Bygg'!N142</f>
        <v>0</v>
      </c>
      <c r="AM142" s="91" t="str">
        <f>IF(F142=0,"",('Inndata Bygg'!E145+'Inndata Bygg'!F145)*ROUNDDOWN('Inndata Bygg'!I145,0)*(1+'Inndata Bygg'!K145))</f>
        <v/>
      </c>
    </row>
    <row r="143" spans="2:39">
      <c r="B143" s="339">
        <f>'Inndata Bygg'!B146</f>
        <v>0</v>
      </c>
      <c r="C143" s="340">
        <f>'Inndata Bygg'!C146</f>
        <v>0</v>
      </c>
      <c r="D143" s="341">
        <f>'Inndata Bygg'!D146</f>
        <v>0</v>
      </c>
      <c r="E143" s="421" cm="1">
        <f t="array" ref="E143">SUM(IFERROR(F143:AD143,0))</f>
        <v>0</v>
      </c>
      <c r="F143" s="330">
        <f>'Inndata Bygg'!E146</f>
        <v>0</v>
      </c>
      <c r="G143" s="330">
        <f>IF('Inndata Bygg'!AB146="Ja", -0.8*'Resultater detaljert Bygg'!F143, 0)</f>
        <v>0</v>
      </c>
      <c r="H143" s="330">
        <f>IF('Inndata Bygg'!AC146="Ja", -0.4*'Resultater detaljert Bygg'!$F143, 0)</f>
        <v>0</v>
      </c>
      <c r="I143" s="330">
        <f>IF('Inndata Bygg'!AD146="Ja", -1*'Resultater detaljert Bygg'!$F143, 0)</f>
        <v>0</v>
      </c>
      <c r="J143" s="330">
        <f>'Inndata Bygg'!O146*'Inndata Bygg'!P146</f>
        <v>0</v>
      </c>
      <c r="K143" s="330">
        <f>MAX(-0.75*(SUM('Resultater detaljert Bygg'!F143:J143)),-'Inndata Bygg'!O146*'Inndata Bygg'!Q146)</f>
        <v>0</v>
      </c>
      <c r="L143" s="330">
        <f>'Inndata Bygg'!S146*'Inndata Bygg'!T146</f>
        <v>0</v>
      </c>
      <c r="M143" s="330">
        <f>MAX(-0.75*(SUM('Resultater detaljert Bygg'!F143:I143,L143)),-'Inndata Bygg'!S146*'Inndata Bygg'!U146)</f>
        <v>0</v>
      </c>
      <c r="N143" s="331">
        <f>'Inndata Bygg'!F146</f>
        <v>0</v>
      </c>
      <c r="O143" s="330">
        <f>'Inndata Bygg'!O146*'Inndata Bygg'!R146</f>
        <v>0</v>
      </c>
      <c r="P143" s="332">
        <f>'Inndata Bygg'!S146*'Inndata Bygg'!V146</f>
        <v>0</v>
      </c>
      <c r="Q143" s="493">
        <f>SUM(F143:J143,L143)*'Inndata Bygg'!K146</f>
        <v>0</v>
      </c>
      <c r="R143" s="333">
        <f>(K143+M143)*'Inndata Bygg'!K146</f>
        <v>0</v>
      </c>
      <c r="S143" s="493">
        <f>N143*'Inndata Bygg'!K146</f>
        <v>0</v>
      </c>
      <c r="T143" s="494">
        <f>'Inndata Bygg'!G146*'Inndata Bygg'!K146*Transport_utslipp_til_avfallshånderting_per_kg</f>
        <v>0</v>
      </c>
      <c r="U143" s="330">
        <f>IF('Inndata Bygg'!E146 = 0, 0, 1.833*'Inndata Bygg'!X146*'Inndata Bygg'!K146*('Inndata Bygg'!G146*('Inndata Bygg'!L146*0.5+'Inndata Bygg'!M146*0.8) + (12/44)*('Inndata Bygg'!O146*'Inndata Bygg'!Q146+'Inndata Bygg'!S146*'Inndata Bygg'!U146)))</f>
        <v>0</v>
      </c>
      <c r="V143" s="335" cm="1">
        <f t="array" ref="V143">CalculateBiogenicCarbonUptake('ZERO-B Beregning'!$D$17,'Inndata Bygg'!H146,'Inndata Bygg'!G146,'Inndata Bygg'!L146,F143,AB143,AC143,AD143)</f>
        <v>0</v>
      </c>
      <c r="W143" s="576" cm="1">
        <f t="array" ref="W143">CalculateCementCarbonUptake('ZERO-B Beregning'!$D$17,'Inndata Bygg'!H146,'Inndata Bygg'!G146,'Inndata Bygg'!N146)</f>
        <v>0</v>
      </c>
      <c r="X143" s="331" cm="1">
        <f t="array" ref="X143">IF(SUM(F143:J143,L143)=0, 0, SUM(F143:J143,L143)*(1+'Inndata Bygg'!K146)*IF('Inndata Bygg'!H146&gt;50, 0, _xlfn.XLOOKUP('Inndata Bygg'!H146, År_etter_ferdigstillelse, IF(VALUE(LEFT('Inndata Bygg'!B146, 2))= 49, f_tid_x_f_tek_d_0_037_kumulativ, f_tid_x_f_tek_d_0_01_kumulativ))))</f>
        <v>0</v>
      </c>
      <c r="Y143" s="330">
        <f>IF(X143=0, 0, SUM(K143,M143)*(1+'Inndata Bygg'!K146)*IF('Inndata Bygg'!H146&gt;50, 0, _xlfn.XLOOKUP('Inndata Bygg'!H146, År_etter_ferdigstillelse, f_tid_x_f_tek_d_0_01_kumulativ)))</f>
        <v>0</v>
      </c>
      <c r="Z143" s="336">
        <f>IF(X143=0, 0, SUM(N143:P143)*(1+'Inndata Bygg'!K146)*IF('Inndata Bygg'!H146&gt;50, 0, _xlfn.XLOOKUP('Inndata Bygg'!H146, År_etter_ferdigstillelse, f_tid_x_f_tek_d_0_01_kumulativ)))</f>
        <v>0</v>
      </c>
      <c r="AA143" s="336">
        <f>IF(X143=0, 0, ('Inndata Bygg'!G146+'Inndata Bygg'!O146+'Inndata Bygg'!S146)*(1+'Inndata Bygg'!K146)*Transport_utslipp_til_avfallshånderting_per_kg*IF('Inndata Bygg'!H146&gt;50, 0, _xlfn.XLOOKUP('Inndata Bygg'!H146, År_etter_ferdigstillelse, f_tid_x_f_tek_d_0_01_kumulativ)))</f>
        <v>0</v>
      </c>
      <c r="AB143" s="580" cm="1">
        <f t="array" ref="AB143">CalculateEmissionsFromIncinerationOfWaste('ZERO-B Beregning'!$D$17,'Inndata Bygg'!H146,'Inndata Bygg'!G146,'Inndata Bygg'!X146,'Inndata Bygg'!L146,'Inndata Bygg'!M146,'Inndata Bygg'!B146)</f>
        <v>0</v>
      </c>
      <c r="AC143" s="335">
        <f>IF(('Inndata Bygg'!G146+'Inndata Bygg'!O146+'Inndata Bygg'!S146) = 0, 0,('Inndata Bygg'!G146+'Inndata Bygg'!O146+'Inndata Bygg'!S146)*(('Inndata Bygg'!X146+'Inndata Bygg'!Y146+'Inndata Bygg'!AA146)*Transport_utslipp_til_avfallshånderting_per_kg+('Inndata Bygg'!Z146*'ZERO-B Beregning'!D245/1000)*IF('ZERO-B Beregning'!F246=0,'ZERO-B Beregning'!D246,'ZERO-B Beregning'!F246))*_xlfn.XLOOKUP(51, År_etter_ferdigstillelse, f_tid_x_f_tek_d_0_01))</f>
        <v>0</v>
      </c>
      <c r="AD143" s="577">
        <f>IF(('Inndata Bygg'!G146+'Inndata Bygg'!O146+'Inndata Bygg'!S146) = 0, 0,1.833*('Inndata Bygg'!G146*('Inndata Bygg'!L146*0.5+'Inndata Bygg'!M146*0.8)+'Inndata Bygg'!O146*'Inndata Bygg'!Q146+'Inndata Bygg'!S146*'Inndata Bygg'!U146)*AG143*_xlfn.XLOOKUP(51, År_etter_ferdigstillelse,  f_tid_x_f_tek_d_0_01))</f>
        <v>0</v>
      </c>
      <c r="AE143" s="575" cm="1">
        <f t="array" ref="AE143">CalculateEmissionsReductionFromReuse('ZERO-B Beregning'!$D$17,'Inndata Bygg'!H146,'Inndata Bygg'!G146,'Inndata Bygg'!Z146,'Inndata Bygg'!X146,'Inndata Bygg'!Y146,F143,'Inndata Bygg'!B146)</f>
        <v>0</v>
      </c>
      <c r="AF143" s="333" cm="1">
        <f t="array" ref="AF143">CalculateEmissionReductionFromRecycling('ZERO-B Beregning'!$D$17,'Inndata Bygg'!H146,'Inndata Bygg'!G146,'Inndata Bygg'!AA146,'Inndata Bygg'!X146,'Inndata Bygg'!Y146,F143,'Inndata Bygg'!B146)</f>
        <v>0</v>
      </c>
      <c r="AG143" s="572">
        <f>IF(('Inndata Bygg'!G146+'Inndata Bygg'!O146+'Inndata Bygg'!S146) = 0, 0,'Inndata Bygg'!X146*Faktorer!$Z$58)</f>
        <v>0</v>
      </c>
      <c r="AH143" s="573">
        <f>IF(('Inndata Bygg'!G146+'Inndata Bygg'!O146+'Inndata Bygg'!S146) = 0, 0,'Inndata Bygg'!Z146+('Inndata Bygg'!X146+'Inndata Bygg'!Y146)*(1-Faktorer!$Z$58)*0.5)</f>
        <v>0</v>
      </c>
      <c r="AI143" s="574">
        <f>IF(('Inndata Bygg'!G146+'Inndata Bygg'!O146+'Inndata Bygg'!S146) = 0, 0,'Inndata Bygg'!AA146+('Inndata Bygg'!X146+'Inndata Bygg'!Y146)*(1-Faktorer!$Z$58)*0.5)</f>
        <v>0</v>
      </c>
      <c r="AJ143" s="634"/>
      <c r="AK143" s="90">
        <f t="shared" si="4"/>
        <v>0</v>
      </c>
      <c r="AL143" s="91">
        <f>'Resultater detaljert Bygg'!N143</f>
        <v>0</v>
      </c>
      <c r="AM143" s="91" t="str">
        <f>IF(F143=0,"",('Inndata Bygg'!E146+'Inndata Bygg'!F146)*ROUNDDOWN('Inndata Bygg'!I146,0)*(1+'Inndata Bygg'!K146))</f>
        <v/>
      </c>
    </row>
    <row r="144" spans="2:39">
      <c r="B144" s="339">
        <f>'Inndata Bygg'!B147</f>
        <v>0</v>
      </c>
      <c r="C144" s="340">
        <f>'Inndata Bygg'!C147</f>
        <v>0</v>
      </c>
      <c r="D144" s="341">
        <f>'Inndata Bygg'!D147</f>
        <v>0</v>
      </c>
      <c r="E144" s="421" cm="1">
        <f t="array" ref="E144">SUM(IFERROR(F144:AD144,0))</f>
        <v>0</v>
      </c>
      <c r="F144" s="330">
        <f>'Inndata Bygg'!E147</f>
        <v>0</v>
      </c>
      <c r="G144" s="330">
        <f>IF('Inndata Bygg'!AB147="Ja", -0.8*'Resultater detaljert Bygg'!F144, 0)</f>
        <v>0</v>
      </c>
      <c r="H144" s="330">
        <f>IF('Inndata Bygg'!AC147="Ja", -0.4*'Resultater detaljert Bygg'!$F144, 0)</f>
        <v>0</v>
      </c>
      <c r="I144" s="330">
        <f>IF('Inndata Bygg'!AD147="Ja", -1*'Resultater detaljert Bygg'!$F144, 0)</f>
        <v>0</v>
      </c>
      <c r="J144" s="330">
        <f>'Inndata Bygg'!O147*'Inndata Bygg'!P147</f>
        <v>0</v>
      </c>
      <c r="K144" s="330">
        <f>MAX(-0.75*(SUM('Resultater detaljert Bygg'!F144:J144)),-'Inndata Bygg'!O147*'Inndata Bygg'!Q147)</f>
        <v>0</v>
      </c>
      <c r="L144" s="330">
        <f>'Inndata Bygg'!S147*'Inndata Bygg'!T147</f>
        <v>0</v>
      </c>
      <c r="M144" s="330">
        <f>MAX(-0.75*(SUM('Resultater detaljert Bygg'!F144:I144,L144)),-'Inndata Bygg'!S147*'Inndata Bygg'!U147)</f>
        <v>0</v>
      </c>
      <c r="N144" s="331">
        <f>'Inndata Bygg'!F147</f>
        <v>0</v>
      </c>
      <c r="O144" s="330">
        <f>'Inndata Bygg'!O147*'Inndata Bygg'!R147</f>
        <v>0</v>
      </c>
      <c r="P144" s="332">
        <f>'Inndata Bygg'!S147*'Inndata Bygg'!V147</f>
        <v>0</v>
      </c>
      <c r="Q144" s="493">
        <f>SUM(F144:J144,L144)*'Inndata Bygg'!K147</f>
        <v>0</v>
      </c>
      <c r="R144" s="333">
        <f>(K144+M144)*'Inndata Bygg'!K147</f>
        <v>0</v>
      </c>
      <c r="S144" s="493">
        <f>N144*'Inndata Bygg'!K147</f>
        <v>0</v>
      </c>
      <c r="T144" s="494">
        <f>'Inndata Bygg'!G147*'Inndata Bygg'!K147*Transport_utslipp_til_avfallshånderting_per_kg</f>
        <v>0</v>
      </c>
      <c r="U144" s="330">
        <f>IF('Inndata Bygg'!E147 = 0, 0, 1.833*'Inndata Bygg'!X147*'Inndata Bygg'!K147*('Inndata Bygg'!G147*('Inndata Bygg'!L147*0.5+'Inndata Bygg'!M147*0.8) + (12/44)*('Inndata Bygg'!O147*'Inndata Bygg'!Q147+'Inndata Bygg'!S147*'Inndata Bygg'!U147)))</f>
        <v>0</v>
      </c>
      <c r="V144" s="335" cm="1">
        <f t="array" ref="V144">CalculateBiogenicCarbonUptake('ZERO-B Beregning'!$D$17,'Inndata Bygg'!H147,'Inndata Bygg'!G147,'Inndata Bygg'!L147,F144,AB144,AC144,AD144)</f>
        <v>0</v>
      </c>
      <c r="W144" s="576" cm="1">
        <f t="array" ref="W144">CalculateCementCarbonUptake('ZERO-B Beregning'!$D$17,'Inndata Bygg'!H147,'Inndata Bygg'!G147,'Inndata Bygg'!N147)</f>
        <v>0</v>
      </c>
      <c r="X144" s="331" cm="1">
        <f t="array" ref="X144">IF(SUM(F144:J144,L144)=0, 0, SUM(F144:J144,L144)*(1+'Inndata Bygg'!K147)*IF('Inndata Bygg'!H147&gt;50, 0, _xlfn.XLOOKUP('Inndata Bygg'!H147, År_etter_ferdigstillelse, IF(VALUE(LEFT('Inndata Bygg'!B147, 2))= 49, f_tid_x_f_tek_d_0_037_kumulativ, f_tid_x_f_tek_d_0_01_kumulativ))))</f>
        <v>0</v>
      </c>
      <c r="Y144" s="330">
        <f>IF(X144=0, 0, SUM(K144,M144)*(1+'Inndata Bygg'!K147)*IF('Inndata Bygg'!H147&gt;50, 0, _xlfn.XLOOKUP('Inndata Bygg'!H147, År_etter_ferdigstillelse, f_tid_x_f_tek_d_0_01_kumulativ)))</f>
        <v>0</v>
      </c>
      <c r="Z144" s="336">
        <f>IF(X144=0, 0, SUM(N144:P144)*(1+'Inndata Bygg'!K147)*IF('Inndata Bygg'!H147&gt;50, 0, _xlfn.XLOOKUP('Inndata Bygg'!H147, År_etter_ferdigstillelse, f_tid_x_f_tek_d_0_01_kumulativ)))</f>
        <v>0</v>
      </c>
      <c r="AA144" s="336">
        <f>IF(X144=0, 0, ('Inndata Bygg'!G147+'Inndata Bygg'!O147+'Inndata Bygg'!S147)*(1+'Inndata Bygg'!K147)*Transport_utslipp_til_avfallshånderting_per_kg*IF('Inndata Bygg'!H147&gt;50, 0, _xlfn.XLOOKUP('Inndata Bygg'!H147, År_etter_ferdigstillelse, f_tid_x_f_tek_d_0_01_kumulativ)))</f>
        <v>0</v>
      </c>
      <c r="AB144" s="580" cm="1">
        <f t="array" ref="AB144">CalculateEmissionsFromIncinerationOfWaste('ZERO-B Beregning'!$D$17,'Inndata Bygg'!H147,'Inndata Bygg'!G147,'Inndata Bygg'!X147,'Inndata Bygg'!L147,'Inndata Bygg'!M147,'Inndata Bygg'!B147)</f>
        <v>0</v>
      </c>
      <c r="AC144" s="335">
        <f>IF(('Inndata Bygg'!G147+'Inndata Bygg'!O147+'Inndata Bygg'!S147) = 0, 0,('Inndata Bygg'!G147+'Inndata Bygg'!O147+'Inndata Bygg'!S147)*(('Inndata Bygg'!X147+'Inndata Bygg'!Y147+'Inndata Bygg'!AA147)*Transport_utslipp_til_avfallshånderting_per_kg+('Inndata Bygg'!Z147*'ZERO-B Beregning'!D246/1000)*IF('ZERO-B Beregning'!F247=0,'ZERO-B Beregning'!D247,'ZERO-B Beregning'!F247))*_xlfn.XLOOKUP(51, År_etter_ferdigstillelse, f_tid_x_f_tek_d_0_01))</f>
        <v>0</v>
      </c>
      <c r="AD144" s="577">
        <f>IF(('Inndata Bygg'!G147+'Inndata Bygg'!O147+'Inndata Bygg'!S147) = 0, 0,1.833*('Inndata Bygg'!G147*('Inndata Bygg'!L147*0.5+'Inndata Bygg'!M147*0.8)+'Inndata Bygg'!O147*'Inndata Bygg'!Q147+'Inndata Bygg'!S147*'Inndata Bygg'!U147)*AG144*_xlfn.XLOOKUP(51, År_etter_ferdigstillelse,  f_tid_x_f_tek_d_0_01))</f>
        <v>0</v>
      </c>
      <c r="AE144" s="575" cm="1">
        <f t="array" ref="AE144">CalculateEmissionsReductionFromReuse('ZERO-B Beregning'!$D$17,'Inndata Bygg'!H147,'Inndata Bygg'!G147,'Inndata Bygg'!Z147,'Inndata Bygg'!X147,'Inndata Bygg'!Y147,F144,'Inndata Bygg'!B147)</f>
        <v>0</v>
      </c>
      <c r="AF144" s="333" cm="1">
        <f t="array" ref="AF144">CalculateEmissionReductionFromRecycling('ZERO-B Beregning'!$D$17,'Inndata Bygg'!H147,'Inndata Bygg'!G147,'Inndata Bygg'!AA147,'Inndata Bygg'!X147,'Inndata Bygg'!Y147,F144,'Inndata Bygg'!B147)</f>
        <v>0</v>
      </c>
      <c r="AG144" s="572">
        <f>IF(('Inndata Bygg'!G147+'Inndata Bygg'!O147+'Inndata Bygg'!S147) = 0, 0,'Inndata Bygg'!X147*Faktorer!$Z$58)</f>
        <v>0</v>
      </c>
      <c r="AH144" s="573">
        <f>IF(('Inndata Bygg'!G147+'Inndata Bygg'!O147+'Inndata Bygg'!S147) = 0, 0,'Inndata Bygg'!Z147+('Inndata Bygg'!X147+'Inndata Bygg'!Y147)*(1-Faktorer!$Z$58)*0.5)</f>
        <v>0</v>
      </c>
      <c r="AI144" s="574">
        <f>IF(('Inndata Bygg'!G147+'Inndata Bygg'!O147+'Inndata Bygg'!S147) = 0, 0,'Inndata Bygg'!AA147+('Inndata Bygg'!X147+'Inndata Bygg'!Y147)*(1-Faktorer!$Z$58)*0.5)</f>
        <v>0</v>
      </c>
      <c r="AJ144" s="634"/>
      <c r="AK144" s="90">
        <f t="shared" si="4"/>
        <v>0</v>
      </c>
      <c r="AL144" s="91">
        <f>'Resultater detaljert Bygg'!N144</f>
        <v>0</v>
      </c>
      <c r="AM144" s="91" t="str">
        <f>IF(F144=0,"",('Inndata Bygg'!E147+'Inndata Bygg'!F147)*ROUNDDOWN('Inndata Bygg'!I147,0)*(1+'Inndata Bygg'!K147))</f>
        <v/>
      </c>
    </row>
    <row r="145" spans="2:39">
      <c r="B145" s="339">
        <f>'Inndata Bygg'!B148</f>
        <v>0</v>
      </c>
      <c r="C145" s="340">
        <f>'Inndata Bygg'!C148</f>
        <v>0</v>
      </c>
      <c r="D145" s="341">
        <f>'Inndata Bygg'!D148</f>
        <v>0</v>
      </c>
      <c r="E145" s="421" cm="1">
        <f t="array" ref="E145">SUM(IFERROR(F145:AD145,0))</f>
        <v>0</v>
      </c>
      <c r="F145" s="330">
        <f>'Inndata Bygg'!E148</f>
        <v>0</v>
      </c>
      <c r="G145" s="330">
        <f>IF('Inndata Bygg'!AB148="Ja", -0.8*'Resultater detaljert Bygg'!F145, 0)</f>
        <v>0</v>
      </c>
      <c r="H145" s="330">
        <f>IF('Inndata Bygg'!AC148="Ja", -0.4*'Resultater detaljert Bygg'!$F145, 0)</f>
        <v>0</v>
      </c>
      <c r="I145" s="330">
        <f>IF('Inndata Bygg'!AD148="Ja", -1*'Resultater detaljert Bygg'!$F145, 0)</f>
        <v>0</v>
      </c>
      <c r="J145" s="330">
        <f>'Inndata Bygg'!O148*'Inndata Bygg'!P148</f>
        <v>0</v>
      </c>
      <c r="K145" s="330">
        <f>MAX(-0.75*(SUM('Resultater detaljert Bygg'!F145:J145)),-'Inndata Bygg'!O148*'Inndata Bygg'!Q148)</f>
        <v>0</v>
      </c>
      <c r="L145" s="330">
        <f>'Inndata Bygg'!S148*'Inndata Bygg'!T148</f>
        <v>0</v>
      </c>
      <c r="M145" s="330">
        <f>MAX(-0.75*(SUM('Resultater detaljert Bygg'!F145:I145,L145)),-'Inndata Bygg'!S148*'Inndata Bygg'!U148)</f>
        <v>0</v>
      </c>
      <c r="N145" s="331">
        <f>'Inndata Bygg'!F148</f>
        <v>0</v>
      </c>
      <c r="O145" s="330">
        <f>'Inndata Bygg'!O148*'Inndata Bygg'!R148</f>
        <v>0</v>
      </c>
      <c r="P145" s="332">
        <f>'Inndata Bygg'!S148*'Inndata Bygg'!V148</f>
        <v>0</v>
      </c>
      <c r="Q145" s="493">
        <f>SUM(F145:J145,L145)*'Inndata Bygg'!K148</f>
        <v>0</v>
      </c>
      <c r="R145" s="333">
        <f>(K145+M145)*'Inndata Bygg'!K148</f>
        <v>0</v>
      </c>
      <c r="S145" s="493">
        <f>N145*'Inndata Bygg'!K148</f>
        <v>0</v>
      </c>
      <c r="T145" s="494">
        <f>'Inndata Bygg'!G148*'Inndata Bygg'!K148*Transport_utslipp_til_avfallshånderting_per_kg</f>
        <v>0</v>
      </c>
      <c r="U145" s="330">
        <f>IF('Inndata Bygg'!E148 = 0, 0, 1.833*'Inndata Bygg'!X148*'Inndata Bygg'!K148*('Inndata Bygg'!G148*('Inndata Bygg'!L148*0.5+'Inndata Bygg'!M148*0.8) + (12/44)*('Inndata Bygg'!O148*'Inndata Bygg'!Q148+'Inndata Bygg'!S148*'Inndata Bygg'!U148)))</f>
        <v>0</v>
      </c>
      <c r="V145" s="335" cm="1">
        <f t="array" ref="V145">CalculateBiogenicCarbonUptake('ZERO-B Beregning'!$D$17,'Inndata Bygg'!H148,'Inndata Bygg'!G148,'Inndata Bygg'!L148,F145,AB145,AC145,AD145)</f>
        <v>0</v>
      </c>
      <c r="W145" s="576" cm="1">
        <f t="array" ref="W145">CalculateCementCarbonUptake('ZERO-B Beregning'!$D$17,'Inndata Bygg'!H148,'Inndata Bygg'!G148,'Inndata Bygg'!N148)</f>
        <v>0</v>
      </c>
      <c r="X145" s="331" cm="1">
        <f t="array" ref="X145">IF(SUM(F145:J145,L145)=0, 0, SUM(F145:J145,L145)*(1+'Inndata Bygg'!K148)*IF('Inndata Bygg'!H148&gt;50, 0, _xlfn.XLOOKUP('Inndata Bygg'!H148, År_etter_ferdigstillelse, IF(VALUE(LEFT('Inndata Bygg'!B148, 2))= 49, f_tid_x_f_tek_d_0_037_kumulativ, f_tid_x_f_tek_d_0_01_kumulativ))))</f>
        <v>0</v>
      </c>
      <c r="Y145" s="330">
        <f>IF(X145=0, 0, SUM(K145,M145)*(1+'Inndata Bygg'!K148)*IF('Inndata Bygg'!H148&gt;50, 0, _xlfn.XLOOKUP('Inndata Bygg'!H148, År_etter_ferdigstillelse, f_tid_x_f_tek_d_0_01_kumulativ)))</f>
        <v>0</v>
      </c>
      <c r="Z145" s="336">
        <f>IF(X145=0, 0, SUM(N145:P145)*(1+'Inndata Bygg'!K148)*IF('Inndata Bygg'!H148&gt;50, 0, _xlfn.XLOOKUP('Inndata Bygg'!H148, År_etter_ferdigstillelse, f_tid_x_f_tek_d_0_01_kumulativ)))</f>
        <v>0</v>
      </c>
      <c r="AA145" s="336">
        <f>IF(X145=0, 0, ('Inndata Bygg'!G148+'Inndata Bygg'!O148+'Inndata Bygg'!S148)*(1+'Inndata Bygg'!K148)*Transport_utslipp_til_avfallshånderting_per_kg*IF('Inndata Bygg'!H148&gt;50, 0, _xlfn.XLOOKUP('Inndata Bygg'!H148, År_etter_ferdigstillelse, f_tid_x_f_tek_d_0_01_kumulativ)))</f>
        <v>0</v>
      </c>
      <c r="AB145" s="580" cm="1">
        <f t="array" ref="AB145">CalculateEmissionsFromIncinerationOfWaste('ZERO-B Beregning'!$D$17,'Inndata Bygg'!H148,'Inndata Bygg'!G148,'Inndata Bygg'!X148,'Inndata Bygg'!L148,'Inndata Bygg'!M148,'Inndata Bygg'!B148)</f>
        <v>0</v>
      </c>
      <c r="AC145" s="335">
        <f>IF(('Inndata Bygg'!G148+'Inndata Bygg'!O148+'Inndata Bygg'!S148) = 0, 0,('Inndata Bygg'!G148+'Inndata Bygg'!O148+'Inndata Bygg'!S148)*(('Inndata Bygg'!X148+'Inndata Bygg'!Y148+'Inndata Bygg'!AA148)*Transport_utslipp_til_avfallshånderting_per_kg+('Inndata Bygg'!Z148*'ZERO-B Beregning'!D247/1000)*IF('ZERO-B Beregning'!F248=0,'ZERO-B Beregning'!D248,'ZERO-B Beregning'!F248))*_xlfn.XLOOKUP(51, År_etter_ferdigstillelse, f_tid_x_f_tek_d_0_01))</f>
        <v>0</v>
      </c>
      <c r="AD145" s="577">
        <f>IF(('Inndata Bygg'!G148+'Inndata Bygg'!O148+'Inndata Bygg'!S148) = 0, 0,1.833*('Inndata Bygg'!G148*('Inndata Bygg'!L148*0.5+'Inndata Bygg'!M148*0.8)+'Inndata Bygg'!O148*'Inndata Bygg'!Q148+'Inndata Bygg'!S148*'Inndata Bygg'!U148)*AG145*_xlfn.XLOOKUP(51, År_etter_ferdigstillelse,  f_tid_x_f_tek_d_0_01))</f>
        <v>0</v>
      </c>
      <c r="AE145" s="575" cm="1">
        <f t="array" ref="AE145">CalculateEmissionsReductionFromReuse('ZERO-B Beregning'!$D$17,'Inndata Bygg'!H148,'Inndata Bygg'!G148,'Inndata Bygg'!Z148,'Inndata Bygg'!X148,'Inndata Bygg'!Y148,F145,'Inndata Bygg'!B148)</f>
        <v>0</v>
      </c>
      <c r="AF145" s="333" cm="1">
        <f t="array" ref="AF145">CalculateEmissionReductionFromRecycling('ZERO-B Beregning'!$D$17,'Inndata Bygg'!H148,'Inndata Bygg'!G148,'Inndata Bygg'!AA148,'Inndata Bygg'!X148,'Inndata Bygg'!Y148,F145,'Inndata Bygg'!B148)</f>
        <v>0</v>
      </c>
      <c r="AG145" s="572">
        <f>IF(('Inndata Bygg'!G148+'Inndata Bygg'!O148+'Inndata Bygg'!S148) = 0, 0,'Inndata Bygg'!X148*Faktorer!$Z$58)</f>
        <v>0</v>
      </c>
      <c r="AH145" s="573">
        <f>IF(('Inndata Bygg'!G148+'Inndata Bygg'!O148+'Inndata Bygg'!S148) = 0, 0,'Inndata Bygg'!Z148+('Inndata Bygg'!X148+'Inndata Bygg'!Y148)*(1-Faktorer!$Z$58)*0.5)</f>
        <v>0</v>
      </c>
      <c r="AI145" s="574">
        <f>IF(('Inndata Bygg'!G148+'Inndata Bygg'!O148+'Inndata Bygg'!S148) = 0, 0,'Inndata Bygg'!AA148+('Inndata Bygg'!X148+'Inndata Bygg'!Y148)*(1-Faktorer!$Z$58)*0.5)</f>
        <v>0</v>
      </c>
      <c r="AJ145" s="634"/>
      <c r="AK145" s="90">
        <f t="shared" si="4"/>
        <v>0</v>
      </c>
      <c r="AL145" s="91">
        <f>'Resultater detaljert Bygg'!N145</f>
        <v>0</v>
      </c>
      <c r="AM145" s="91" t="str">
        <f>IF(F145=0,"",('Inndata Bygg'!E148+'Inndata Bygg'!F148)*ROUNDDOWN('Inndata Bygg'!I148,0)*(1+'Inndata Bygg'!K148))</f>
        <v/>
      </c>
    </row>
    <row r="146" spans="2:39">
      <c r="B146" s="339">
        <f>'Inndata Bygg'!B149</f>
        <v>0</v>
      </c>
      <c r="C146" s="340">
        <f>'Inndata Bygg'!C149</f>
        <v>0</v>
      </c>
      <c r="D146" s="341">
        <f>'Inndata Bygg'!D149</f>
        <v>0</v>
      </c>
      <c r="E146" s="421" cm="1">
        <f t="array" ref="E146">SUM(IFERROR(F146:AD146,0))</f>
        <v>0</v>
      </c>
      <c r="F146" s="330">
        <f>'Inndata Bygg'!E149</f>
        <v>0</v>
      </c>
      <c r="G146" s="330">
        <f>IF('Inndata Bygg'!AB149="Ja", -0.8*'Resultater detaljert Bygg'!F146, 0)</f>
        <v>0</v>
      </c>
      <c r="H146" s="330">
        <f>IF('Inndata Bygg'!AC149="Ja", -0.4*'Resultater detaljert Bygg'!$F146, 0)</f>
        <v>0</v>
      </c>
      <c r="I146" s="330">
        <f>IF('Inndata Bygg'!AD149="Ja", -1*'Resultater detaljert Bygg'!$F146, 0)</f>
        <v>0</v>
      </c>
      <c r="J146" s="330">
        <f>'Inndata Bygg'!O149*'Inndata Bygg'!P149</f>
        <v>0</v>
      </c>
      <c r="K146" s="330">
        <f>MAX(-0.75*(SUM('Resultater detaljert Bygg'!F146:J146)),-'Inndata Bygg'!O149*'Inndata Bygg'!Q149)</f>
        <v>0</v>
      </c>
      <c r="L146" s="330">
        <f>'Inndata Bygg'!S149*'Inndata Bygg'!T149</f>
        <v>0</v>
      </c>
      <c r="M146" s="330">
        <f>MAX(-0.75*(SUM('Resultater detaljert Bygg'!F146:I146,L146)),-'Inndata Bygg'!S149*'Inndata Bygg'!U149)</f>
        <v>0</v>
      </c>
      <c r="N146" s="331">
        <f>'Inndata Bygg'!F149</f>
        <v>0</v>
      </c>
      <c r="O146" s="330">
        <f>'Inndata Bygg'!O149*'Inndata Bygg'!R149</f>
        <v>0</v>
      </c>
      <c r="P146" s="332">
        <f>'Inndata Bygg'!S149*'Inndata Bygg'!V149</f>
        <v>0</v>
      </c>
      <c r="Q146" s="493">
        <f>SUM(F146:J146,L146)*'Inndata Bygg'!K149</f>
        <v>0</v>
      </c>
      <c r="R146" s="333">
        <f>(K146+M146)*'Inndata Bygg'!K149</f>
        <v>0</v>
      </c>
      <c r="S146" s="493">
        <f>N146*'Inndata Bygg'!K149</f>
        <v>0</v>
      </c>
      <c r="T146" s="494">
        <f>'Inndata Bygg'!G149*'Inndata Bygg'!K149*Transport_utslipp_til_avfallshånderting_per_kg</f>
        <v>0</v>
      </c>
      <c r="U146" s="330">
        <f>IF('Inndata Bygg'!E149 = 0, 0, 1.833*'Inndata Bygg'!X149*'Inndata Bygg'!K149*('Inndata Bygg'!G149*('Inndata Bygg'!L149*0.5+'Inndata Bygg'!M149*0.8) + (12/44)*('Inndata Bygg'!O149*'Inndata Bygg'!Q149+'Inndata Bygg'!S149*'Inndata Bygg'!U149)))</f>
        <v>0</v>
      </c>
      <c r="V146" s="335" cm="1">
        <f t="array" ref="V146">CalculateBiogenicCarbonUptake('ZERO-B Beregning'!$D$17,'Inndata Bygg'!H149,'Inndata Bygg'!G149,'Inndata Bygg'!L149,F146,AB146,AC146,AD146)</f>
        <v>0</v>
      </c>
      <c r="W146" s="576" cm="1">
        <f t="array" ref="W146">CalculateCementCarbonUptake('ZERO-B Beregning'!$D$17,'Inndata Bygg'!H149,'Inndata Bygg'!G149,'Inndata Bygg'!N149)</f>
        <v>0</v>
      </c>
      <c r="X146" s="331" cm="1">
        <f t="array" ref="X146">IF(SUM(F146:J146,L146)=0, 0, SUM(F146:J146,L146)*(1+'Inndata Bygg'!K149)*IF('Inndata Bygg'!H149&gt;50, 0, _xlfn.XLOOKUP('Inndata Bygg'!H149, År_etter_ferdigstillelse, IF(VALUE(LEFT('Inndata Bygg'!B149, 2))= 49, f_tid_x_f_tek_d_0_037_kumulativ, f_tid_x_f_tek_d_0_01_kumulativ))))</f>
        <v>0</v>
      </c>
      <c r="Y146" s="330">
        <f>IF(X146=0, 0, SUM(K146,M146)*(1+'Inndata Bygg'!K149)*IF('Inndata Bygg'!H149&gt;50, 0, _xlfn.XLOOKUP('Inndata Bygg'!H149, År_etter_ferdigstillelse, f_tid_x_f_tek_d_0_01_kumulativ)))</f>
        <v>0</v>
      </c>
      <c r="Z146" s="336">
        <f>IF(X146=0, 0, SUM(N146:P146)*(1+'Inndata Bygg'!K149)*IF('Inndata Bygg'!H149&gt;50, 0, _xlfn.XLOOKUP('Inndata Bygg'!H149, År_etter_ferdigstillelse, f_tid_x_f_tek_d_0_01_kumulativ)))</f>
        <v>0</v>
      </c>
      <c r="AA146" s="336">
        <f>IF(X146=0, 0, ('Inndata Bygg'!G149+'Inndata Bygg'!O149+'Inndata Bygg'!S149)*(1+'Inndata Bygg'!K149)*Transport_utslipp_til_avfallshånderting_per_kg*IF('Inndata Bygg'!H149&gt;50, 0, _xlfn.XLOOKUP('Inndata Bygg'!H149, År_etter_ferdigstillelse, f_tid_x_f_tek_d_0_01_kumulativ)))</f>
        <v>0</v>
      </c>
      <c r="AB146" s="580" cm="1">
        <f t="array" ref="AB146">CalculateEmissionsFromIncinerationOfWaste('ZERO-B Beregning'!$D$17,'Inndata Bygg'!H149,'Inndata Bygg'!G149,'Inndata Bygg'!X149,'Inndata Bygg'!L149,'Inndata Bygg'!M149,'Inndata Bygg'!B149)</f>
        <v>0</v>
      </c>
      <c r="AC146" s="335">
        <f>IF(('Inndata Bygg'!G149+'Inndata Bygg'!O149+'Inndata Bygg'!S149) = 0, 0,('Inndata Bygg'!G149+'Inndata Bygg'!O149+'Inndata Bygg'!S149)*(('Inndata Bygg'!X149+'Inndata Bygg'!Y149+'Inndata Bygg'!AA149)*Transport_utslipp_til_avfallshånderting_per_kg+('Inndata Bygg'!Z149*'ZERO-B Beregning'!D248/1000)*IF('ZERO-B Beregning'!F249=0,'ZERO-B Beregning'!D249,'ZERO-B Beregning'!F249))*_xlfn.XLOOKUP(51, År_etter_ferdigstillelse, f_tid_x_f_tek_d_0_01))</f>
        <v>0</v>
      </c>
      <c r="AD146" s="577">
        <f>IF(('Inndata Bygg'!G149+'Inndata Bygg'!O149+'Inndata Bygg'!S149) = 0, 0,1.833*('Inndata Bygg'!G149*('Inndata Bygg'!L149*0.5+'Inndata Bygg'!M149*0.8)+'Inndata Bygg'!O149*'Inndata Bygg'!Q149+'Inndata Bygg'!S149*'Inndata Bygg'!U149)*AG146*_xlfn.XLOOKUP(51, År_etter_ferdigstillelse,  f_tid_x_f_tek_d_0_01))</f>
        <v>0</v>
      </c>
      <c r="AE146" s="575" cm="1">
        <f t="array" ref="AE146">CalculateEmissionsReductionFromReuse('ZERO-B Beregning'!$D$17,'Inndata Bygg'!H149,'Inndata Bygg'!G149,'Inndata Bygg'!Z149,'Inndata Bygg'!X149,'Inndata Bygg'!Y149,F146,'Inndata Bygg'!B149)</f>
        <v>0</v>
      </c>
      <c r="AF146" s="333" cm="1">
        <f t="array" ref="AF146">CalculateEmissionReductionFromRecycling('ZERO-B Beregning'!$D$17,'Inndata Bygg'!H149,'Inndata Bygg'!G149,'Inndata Bygg'!AA149,'Inndata Bygg'!X149,'Inndata Bygg'!Y149,F146,'Inndata Bygg'!B149)</f>
        <v>0</v>
      </c>
      <c r="AG146" s="572">
        <f>IF(('Inndata Bygg'!G149+'Inndata Bygg'!O149+'Inndata Bygg'!S149) = 0, 0,'Inndata Bygg'!X149*Faktorer!$Z$58)</f>
        <v>0</v>
      </c>
      <c r="AH146" s="573">
        <f>IF(('Inndata Bygg'!G149+'Inndata Bygg'!O149+'Inndata Bygg'!S149) = 0, 0,'Inndata Bygg'!Z149+('Inndata Bygg'!X149+'Inndata Bygg'!Y149)*(1-Faktorer!$Z$58)*0.5)</f>
        <v>0</v>
      </c>
      <c r="AI146" s="574">
        <f>IF(('Inndata Bygg'!G149+'Inndata Bygg'!O149+'Inndata Bygg'!S149) = 0, 0,'Inndata Bygg'!AA149+('Inndata Bygg'!X149+'Inndata Bygg'!Y149)*(1-Faktorer!$Z$58)*0.5)</f>
        <v>0</v>
      </c>
      <c r="AJ146" s="634"/>
      <c r="AK146" s="90">
        <f t="shared" si="4"/>
        <v>0</v>
      </c>
      <c r="AL146" s="91">
        <f>'Resultater detaljert Bygg'!N146</f>
        <v>0</v>
      </c>
      <c r="AM146" s="91" t="str">
        <f>IF(F146=0,"",('Inndata Bygg'!E149+'Inndata Bygg'!F149)*ROUNDDOWN('Inndata Bygg'!I149,0)*(1+'Inndata Bygg'!K149))</f>
        <v/>
      </c>
    </row>
    <row r="147" spans="2:39">
      <c r="B147" s="339">
        <f>'Inndata Bygg'!B150</f>
        <v>0</v>
      </c>
      <c r="C147" s="340">
        <f>'Inndata Bygg'!C150</f>
        <v>0</v>
      </c>
      <c r="D147" s="341">
        <f>'Inndata Bygg'!D150</f>
        <v>0</v>
      </c>
      <c r="E147" s="421" cm="1">
        <f t="array" ref="E147">SUM(IFERROR(F147:AD147,0))</f>
        <v>0</v>
      </c>
      <c r="F147" s="330">
        <f>'Inndata Bygg'!E150</f>
        <v>0</v>
      </c>
      <c r="G147" s="330">
        <f>IF('Inndata Bygg'!AB150="Ja", -0.8*'Resultater detaljert Bygg'!F147, 0)</f>
        <v>0</v>
      </c>
      <c r="H147" s="330">
        <f>IF('Inndata Bygg'!AC150="Ja", -0.4*'Resultater detaljert Bygg'!$F147, 0)</f>
        <v>0</v>
      </c>
      <c r="I147" s="330">
        <f>IF('Inndata Bygg'!AD150="Ja", -1*'Resultater detaljert Bygg'!$F147, 0)</f>
        <v>0</v>
      </c>
      <c r="J147" s="330">
        <f>'Inndata Bygg'!O150*'Inndata Bygg'!P150</f>
        <v>0</v>
      </c>
      <c r="K147" s="330">
        <f>MAX(-0.75*(SUM('Resultater detaljert Bygg'!F147:J147)),-'Inndata Bygg'!O150*'Inndata Bygg'!Q150)</f>
        <v>0</v>
      </c>
      <c r="L147" s="330">
        <f>'Inndata Bygg'!S150*'Inndata Bygg'!T150</f>
        <v>0</v>
      </c>
      <c r="M147" s="330">
        <f>MAX(-0.75*(SUM('Resultater detaljert Bygg'!F147:I147,L147)),-'Inndata Bygg'!S150*'Inndata Bygg'!U150)</f>
        <v>0</v>
      </c>
      <c r="N147" s="331">
        <f>'Inndata Bygg'!F150</f>
        <v>0</v>
      </c>
      <c r="O147" s="330">
        <f>'Inndata Bygg'!O150*'Inndata Bygg'!R150</f>
        <v>0</v>
      </c>
      <c r="P147" s="332">
        <f>'Inndata Bygg'!S150*'Inndata Bygg'!V150</f>
        <v>0</v>
      </c>
      <c r="Q147" s="493">
        <f>SUM(F147:J147,L147)*'Inndata Bygg'!K150</f>
        <v>0</v>
      </c>
      <c r="R147" s="333">
        <f>(K147+M147)*'Inndata Bygg'!K150</f>
        <v>0</v>
      </c>
      <c r="S147" s="493">
        <f>N147*'Inndata Bygg'!K150</f>
        <v>0</v>
      </c>
      <c r="T147" s="494">
        <f>'Inndata Bygg'!G150*'Inndata Bygg'!K150*Transport_utslipp_til_avfallshånderting_per_kg</f>
        <v>0</v>
      </c>
      <c r="U147" s="330">
        <f>IF('Inndata Bygg'!E150 = 0, 0, 1.833*'Inndata Bygg'!X150*'Inndata Bygg'!K150*('Inndata Bygg'!G150*('Inndata Bygg'!L150*0.5+'Inndata Bygg'!M150*0.8) + (12/44)*('Inndata Bygg'!O150*'Inndata Bygg'!Q150+'Inndata Bygg'!S150*'Inndata Bygg'!U150)))</f>
        <v>0</v>
      </c>
      <c r="V147" s="335" cm="1">
        <f t="array" ref="V147">CalculateBiogenicCarbonUptake('ZERO-B Beregning'!$D$17,'Inndata Bygg'!H150,'Inndata Bygg'!G150,'Inndata Bygg'!L150,F147,AB147,AC147,AD147)</f>
        <v>0</v>
      </c>
      <c r="W147" s="576" cm="1">
        <f t="array" ref="W147">CalculateCementCarbonUptake('ZERO-B Beregning'!$D$17,'Inndata Bygg'!H150,'Inndata Bygg'!G150,'Inndata Bygg'!N150)</f>
        <v>0</v>
      </c>
      <c r="X147" s="331" cm="1">
        <f t="array" ref="X147">IF(SUM(F147:J147,L147)=0, 0, SUM(F147:J147,L147)*(1+'Inndata Bygg'!K150)*IF('Inndata Bygg'!H150&gt;50, 0, _xlfn.XLOOKUP('Inndata Bygg'!H150, År_etter_ferdigstillelse, IF(VALUE(LEFT('Inndata Bygg'!B150, 2))= 49, f_tid_x_f_tek_d_0_037_kumulativ, f_tid_x_f_tek_d_0_01_kumulativ))))</f>
        <v>0</v>
      </c>
      <c r="Y147" s="330">
        <f>IF(X147=0, 0, SUM(K147,M147)*(1+'Inndata Bygg'!K150)*IF('Inndata Bygg'!H150&gt;50, 0, _xlfn.XLOOKUP('Inndata Bygg'!H150, År_etter_ferdigstillelse, f_tid_x_f_tek_d_0_01_kumulativ)))</f>
        <v>0</v>
      </c>
      <c r="Z147" s="336">
        <f>IF(X147=0, 0, SUM(N147:P147)*(1+'Inndata Bygg'!K150)*IF('Inndata Bygg'!H150&gt;50, 0, _xlfn.XLOOKUP('Inndata Bygg'!H150, År_etter_ferdigstillelse, f_tid_x_f_tek_d_0_01_kumulativ)))</f>
        <v>0</v>
      </c>
      <c r="AA147" s="336">
        <f>IF(X147=0, 0, ('Inndata Bygg'!G150+'Inndata Bygg'!O150+'Inndata Bygg'!S150)*(1+'Inndata Bygg'!K150)*Transport_utslipp_til_avfallshånderting_per_kg*IF('Inndata Bygg'!H150&gt;50, 0, _xlfn.XLOOKUP('Inndata Bygg'!H150, År_etter_ferdigstillelse, f_tid_x_f_tek_d_0_01_kumulativ)))</f>
        <v>0</v>
      </c>
      <c r="AB147" s="580" cm="1">
        <f t="array" ref="AB147">CalculateEmissionsFromIncinerationOfWaste('ZERO-B Beregning'!$D$17,'Inndata Bygg'!H150,'Inndata Bygg'!G150,'Inndata Bygg'!X150,'Inndata Bygg'!L150,'Inndata Bygg'!M150,'Inndata Bygg'!B150)</f>
        <v>0</v>
      </c>
      <c r="AC147" s="335">
        <f>IF(('Inndata Bygg'!G150+'Inndata Bygg'!O150+'Inndata Bygg'!S150) = 0, 0,('Inndata Bygg'!G150+'Inndata Bygg'!O150+'Inndata Bygg'!S150)*(('Inndata Bygg'!X150+'Inndata Bygg'!Y150+'Inndata Bygg'!AA150)*Transport_utslipp_til_avfallshånderting_per_kg+('Inndata Bygg'!Z150*'ZERO-B Beregning'!D249/1000)*IF('ZERO-B Beregning'!F250=0,'ZERO-B Beregning'!D250,'ZERO-B Beregning'!F250))*_xlfn.XLOOKUP(51, År_etter_ferdigstillelse, f_tid_x_f_tek_d_0_01))</f>
        <v>0</v>
      </c>
      <c r="AD147" s="577">
        <f>IF(('Inndata Bygg'!G150+'Inndata Bygg'!O150+'Inndata Bygg'!S150) = 0, 0,1.833*('Inndata Bygg'!G150*('Inndata Bygg'!L150*0.5+'Inndata Bygg'!M150*0.8)+'Inndata Bygg'!O150*'Inndata Bygg'!Q150+'Inndata Bygg'!S150*'Inndata Bygg'!U150)*AG147*_xlfn.XLOOKUP(51, År_etter_ferdigstillelse,  f_tid_x_f_tek_d_0_01))</f>
        <v>0</v>
      </c>
      <c r="AE147" s="575" cm="1">
        <f t="array" ref="AE147">CalculateEmissionsReductionFromReuse('ZERO-B Beregning'!$D$17,'Inndata Bygg'!H150,'Inndata Bygg'!G150,'Inndata Bygg'!Z150,'Inndata Bygg'!X150,'Inndata Bygg'!Y150,F147,'Inndata Bygg'!B150)</f>
        <v>0</v>
      </c>
      <c r="AF147" s="333" cm="1">
        <f t="array" ref="AF147">CalculateEmissionReductionFromRecycling('ZERO-B Beregning'!$D$17,'Inndata Bygg'!H150,'Inndata Bygg'!G150,'Inndata Bygg'!AA150,'Inndata Bygg'!X150,'Inndata Bygg'!Y150,F147,'Inndata Bygg'!B150)</f>
        <v>0</v>
      </c>
      <c r="AG147" s="572">
        <f>IF(('Inndata Bygg'!G150+'Inndata Bygg'!O150+'Inndata Bygg'!S150) = 0, 0,'Inndata Bygg'!X150*Faktorer!$Z$58)</f>
        <v>0</v>
      </c>
      <c r="AH147" s="573">
        <f>IF(('Inndata Bygg'!G150+'Inndata Bygg'!O150+'Inndata Bygg'!S150) = 0, 0,'Inndata Bygg'!Z150+('Inndata Bygg'!X150+'Inndata Bygg'!Y150)*(1-Faktorer!$Z$58)*0.5)</f>
        <v>0</v>
      </c>
      <c r="AI147" s="574">
        <f>IF(('Inndata Bygg'!G150+'Inndata Bygg'!O150+'Inndata Bygg'!S150) = 0, 0,'Inndata Bygg'!AA150+('Inndata Bygg'!X150+'Inndata Bygg'!Y150)*(1-Faktorer!$Z$58)*0.5)</f>
        <v>0</v>
      </c>
      <c r="AJ147" s="634"/>
      <c r="AK147" s="90">
        <f t="shared" si="4"/>
        <v>0</v>
      </c>
      <c r="AL147" s="91">
        <f>'Resultater detaljert Bygg'!N147</f>
        <v>0</v>
      </c>
      <c r="AM147" s="91" t="str">
        <f>IF(F147=0,"",('Inndata Bygg'!E150+'Inndata Bygg'!F150)*ROUNDDOWN('Inndata Bygg'!I150,0)*(1+'Inndata Bygg'!K150))</f>
        <v/>
      </c>
    </row>
    <row r="148" spans="2:39">
      <c r="B148" s="339">
        <f>'Inndata Bygg'!B151</f>
        <v>0</v>
      </c>
      <c r="C148" s="340">
        <f>'Inndata Bygg'!C151</f>
        <v>0</v>
      </c>
      <c r="D148" s="341">
        <f>'Inndata Bygg'!D151</f>
        <v>0</v>
      </c>
      <c r="E148" s="421" cm="1">
        <f t="array" ref="E148">SUM(IFERROR(F148:AD148,0))</f>
        <v>0</v>
      </c>
      <c r="F148" s="330">
        <f>'Inndata Bygg'!E151</f>
        <v>0</v>
      </c>
      <c r="G148" s="330">
        <f>IF('Inndata Bygg'!AB151="Ja", -0.8*'Resultater detaljert Bygg'!F148, 0)</f>
        <v>0</v>
      </c>
      <c r="H148" s="330">
        <f>IF('Inndata Bygg'!AC151="Ja", -0.4*'Resultater detaljert Bygg'!$F148, 0)</f>
        <v>0</v>
      </c>
      <c r="I148" s="330">
        <f>IF('Inndata Bygg'!AD151="Ja", -1*'Resultater detaljert Bygg'!$F148, 0)</f>
        <v>0</v>
      </c>
      <c r="J148" s="330">
        <f>'Inndata Bygg'!O151*'Inndata Bygg'!P151</f>
        <v>0</v>
      </c>
      <c r="K148" s="330">
        <f>MAX(-0.75*(SUM('Resultater detaljert Bygg'!F148:J148)),-'Inndata Bygg'!O151*'Inndata Bygg'!Q151)</f>
        <v>0</v>
      </c>
      <c r="L148" s="330">
        <f>'Inndata Bygg'!S151*'Inndata Bygg'!T151</f>
        <v>0</v>
      </c>
      <c r="M148" s="330">
        <f>MAX(-0.75*(SUM('Resultater detaljert Bygg'!F148:I148,L148)),-'Inndata Bygg'!S151*'Inndata Bygg'!U151)</f>
        <v>0</v>
      </c>
      <c r="N148" s="331">
        <f>'Inndata Bygg'!F151</f>
        <v>0</v>
      </c>
      <c r="O148" s="330">
        <f>'Inndata Bygg'!O151*'Inndata Bygg'!R151</f>
        <v>0</v>
      </c>
      <c r="P148" s="332">
        <f>'Inndata Bygg'!S151*'Inndata Bygg'!V151</f>
        <v>0</v>
      </c>
      <c r="Q148" s="493">
        <f>SUM(F148:J148,L148)*'Inndata Bygg'!K151</f>
        <v>0</v>
      </c>
      <c r="R148" s="333">
        <f>(K148+M148)*'Inndata Bygg'!K151</f>
        <v>0</v>
      </c>
      <c r="S148" s="493">
        <f>N148*'Inndata Bygg'!K151</f>
        <v>0</v>
      </c>
      <c r="T148" s="494">
        <f>'Inndata Bygg'!G151*'Inndata Bygg'!K151*Transport_utslipp_til_avfallshånderting_per_kg</f>
        <v>0</v>
      </c>
      <c r="U148" s="330">
        <f>IF('Inndata Bygg'!E151 = 0, 0, 1.833*'Inndata Bygg'!X151*'Inndata Bygg'!K151*('Inndata Bygg'!G151*('Inndata Bygg'!L151*0.5+'Inndata Bygg'!M151*0.8) + (12/44)*('Inndata Bygg'!O151*'Inndata Bygg'!Q151+'Inndata Bygg'!S151*'Inndata Bygg'!U151)))</f>
        <v>0</v>
      </c>
      <c r="V148" s="335" cm="1">
        <f t="array" ref="V148">CalculateBiogenicCarbonUptake('ZERO-B Beregning'!$D$17,'Inndata Bygg'!H151,'Inndata Bygg'!G151,'Inndata Bygg'!L151,F148,AB148,AC148,AD148)</f>
        <v>0</v>
      </c>
      <c r="W148" s="576" cm="1">
        <f t="array" ref="W148">CalculateCementCarbonUptake('ZERO-B Beregning'!$D$17,'Inndata Bygg'!H151,'Inndata Bygg'!G151,'Inndata Bygg'!N151)</f>
        <v>0</v>
      </c>
      <c r="X148" s="331" cm="1">
        <f t="array" ref="X148">IF(SUM(F148:J148,L148)=0, 0, SUM(F148:J148,L148)*(1+'Inndata Bygg'!K151)*IF('Inndata Bygg'!H151&gt;50, 0, _xlfn.XLOOKUP('Inndata Bygg'!H151, År_etter_ferdigstillelse, IF(VALUE(LEFT('Inndata Bygg'!B151, 2))= 49, f_tid_x_f_tek_d_0_037_kumulativ, f_tid_x_f_tek_d_0_01_kumulativ))))</f>
        <v>0</v>
      </c>
      <c r="Y148" s="330">
        <f>IF(X148=0, 0, SUM(K148,M148)*(1+'Inndata Bygg'!K151)*IF('Inndata Bygg'!H151&gt;50, 0, _xlfn.XLOOKUP('Inndata Bygg'!H151, År_etter_ferdigstillelse, f_tid_x_f_tek_d_0_01_kumulativ)))</f>
        <v>0</v>
      </c>
      <c r="Z148" s="336">
        <f>IF(X148=0, 0, SUM(N148:P148)*(1+'Inndata Bygg'!K151)*IF('Inndata Bygg'!H151&gt;50, 0, _xlfn.XLOOKUP('Inndata Bygg'!H151, År_etter_ferdigstillelse, f_tid_x_f_tek_d_0_01_kumulativ)))</f>
        <v>0</v>
      </c>
      <c r="AA148" s="336">
        <f>IF(X148=0, 0, ('Inndata Bygg'!G151+'Inndata Bygg'!O151+'Inndata Bygg'!S151)*(1+'Inndata Bygg'!K151)*Transport_utslipp_til_avfallshånderting_per_kg*IF('Inndata Bygg'!H151&gt;50, 0, _xlfn.XLOOKUP('Inndata Bygg'!H151, År_etter_ferdigstillelse, f_tid_x_f_tek_d_0_01_kumulativ)))</f>
        <v>0</v>
      </c>
      <c r="AB148" s="580" cm="1">
        <f t="array" ref="AB148">CalculateEmissionsFromIncinerationOfWaste('ZERO-B Beregning'!$D$17,'Inndata Bygg'!H151,'Inndata Bygg'!G151,'Inndata Bygg'!X151,'Inndata Bygg'!L151,'Inndata Bygg'!M151,'Inndata Bygg'!B151)</f>
        <v>0</v>
      </c>
      <c r="AC148" s="335">
        <f>IF(('Inndata Bygg'!G151+'Inndata Bygg'!O151+'Inndata Bygg'!S151) = 0, 0,('Inndata Bygg'!G151+'Inndata Bygg'!O151+'Inndata Bygg'!S151)*(('Inndata Bygg'!X151+'Inndata Bygg'!Y151+'Inndata Bygg'!AA151)*Transport_utslipp_til_avfallshånderting_per_kg+('Inndata Bygg'!Z151*'ZERO-B Beregning'!D250/1000)*IF('ZERO-B Beregning'!F251=0,'ZERO-B Beregning'!D251,'ZERO-B Beregning'!F251))*_xlfn.XLOOKUP(51, År_etter_ferdigstillelse, f_tid_x_f_tek_d_0_01))</f>
        <v>0</v>
      </c>
      <c r="AD148" s="577">
        <f>IF(('Inndata Bygg'!G151+'Inndata Bygg'!O151+'Inndata Bygg'!S151) = 0, 0,1.833*('Inndata Bygg'!G151*('Inndata Bygg'!L151*0.5+'Inndata Bygg'!M151*0.8)+'Inndata Bygg'!O151*'Inndata Bygg'!Q151+'Inndata Bygg'!S151*'Inndata Bygg'!U151)*AG148*_xlfn.XLOOKUP(51, År_etter_ferdigstillelse,  f_tid_x_f_tek_d_0_01))</f>
        <v>0</v>
      </c>
      <c r="AE148" s="575" cm="1">
        <f t="array" ref="AE148">CalculateEmissionsReductionFromReuse('ZERO-B Beregning'!$D$17,'Inndata Bygg'!H151,'Inndata Bygg'!G151,'Inndata Bygg'!Z151,'Inndata Bygg'!X151,'Inndata Bygg'!Y151,F148,'Inndata Bygg'!B151)</f>
        <v>0</v>
      </c>
      <c r="AF148" s="333" cm="1">
        <f t="array" ref="AF148">CalculateEmissionReductionFromRecycling('ZERO-B Beregning'!$D$17,'Inndata Bygg'!H151,'Inndata Bygg'!G151,'Inndata Bygg'!AA151,'Inndata Bygg'!X151,'Inndata Bygg'!Y151,F148,'Inndata Bygg'!B151)</f>
        <v>0</v>
      </c>
      <c r="AG148" s="572">
        <f>IF(('Inndata Bygg'!G151+'Inndata Bygg'!O151+'Inndata Bygg'!S151) = 0, 0,'Inndata Bygg'!X151*Faktorer!$Z$58)</f>
        <v>0</v>
      </c>
      <c r="AH148" s="573">
        <f>IF(('Inndata Bygg'!G151+'Inndata Bygg'!O151+'Inndata Bygg'!S151) = 0, 0,'Inndata Bygg'!Z151+('Inndata Bygg'!X151+'Inndata Bygg'!Y151)*(1-Faktorer!$Z$58)*0.5)</f>
        <v>0</v>
      </c>
      <c r="AI148" s="574">
        <f>IF(('Inndata Bygg'!G151+'Inndata Bygg'!O151+'Inndata Bygg'!S151) = 0, 0,'Inndata Bygg'!AA151+('Inndata Bygg'!X151+'Inndata Bygg'!Y151)*(1-Faktorer!$Z$58)*0.5)</f>
        <v>0</v>
      </c>
      <c r="AJ148" s="634"/>
      <c r="AK148" s="90">
        <f t="shared" si="4"/>
        <v>0</v>
      </c>
      <c r="AL148" s="91">
        <f>'Resultater detaljert Bygg'!N148</f>
        <v>0</v>
      </c>
      <c r="AM148" s="91" t="str">
        <f>IF(F148=0,"",('Inndata Bygg'!E151+'Inndata Bygg'!F151)*ROUNDDOWN('Inndata Bygg'!I151,0)*(1+'Inndata Bygg'!K151))</f>
        <v/>
      </c>
    </row>
    <row r="149" spans="2:39">
      <c r="B149" s="339">
        <f>'Inndata Bygg'!B152</f>
        <v>0</v>
      </c>
      <c r="C149" s="340">
        <f>'Inndata Bygg'!C152</f>
        <v>0</v>
      </c>
      <c r="D149" s="341">
        <f>'Inndata Bygg'!D152</f>
        <v>0</v>
      </c>
      <c r="E149" s="421" cm="1">
        <f t="array" ref="E149">SUM(IFERROR(F149:AD149,0))</f>
        <v>0</v>
      </c>
      <c r="F149" s="330">
        <f>'Inndata Bygg'!E152</f>
        <v>0</v>
      </c>
      <c r="G149" s="330">
        <f>IF('Inndata Bygg'!AB152="Ja", -0.8*'Resultater detaljert Bygg'!F149, 0)</f>
        <v>0</v>
      </c>
      <c r="H149" s="330">
        <f>IF('Inndata Bygg'!AC152="Ja", -0.4*'Resultater detaljert Bygg'!$F149, 0)</f>
        <v>0</v>
      </c>
      <c r="I149" s="330">
        <f>IF('Inndata Bygg'!AD152="Ja", -1*'Resultater detaljert Bygg'!$F149, 0)</f>
        <v>0</v>
      </c>
      <c r="J149" s="330">
        <f>'Inndata Bygg'!O152*'Inndata Bygg'!P152</f>
        <v>0</v>
      </c>
      <c r="K149" s="330">
        <f>MAX(-0.75*(SUM('Resultater detaljert Bygg'!F149:J149)),-'Inndata Bygg'!O152*'Inndata Bygg'!Q152)</f>
        <v>0</v>
      </c>
      <c r="L149" s="330">
        <f>'Inndata Bygg'!S152*'Inndata Bygg'!T152</f>
        <v>0</v>
      </c>
      <c r="M149" s="330">
        <f>MAX(-0.75*(SUM('Resultater detaljert Bygg'!F149:I149,L149)),-'Inndata Bygg'!S152*'Inndata Bygg'!U152)</f>
        <v>0</v>
      </c>
      <c r="N149" s="331">
        <f>'Inndata Bygg'!F152</f>
        <v>0</v>
      </c>
      <c r="O149" s="330">
        <f>'Inndata Bygg'!O152*'Inndata Bygg'!R152</f>
        <v>0</v>
      </c>
      <c r="P149" s="332">
        <f>'Inndata Bygg'!S152*'Inndata Bygg'!V152</f>
        <v>0</v>
      </c>
      <c r="Q149" s="493">
        <f>SUM(F149:J149,L149)*'Inndata Bygg'!K152</f>
        <v>0</v>
      </c>
      <c r="R149" s="333">
        <f>(K149+M149)*'Inndata Bygg'!K152</f>
        <v>0</v>
      </c>
      <c r="S149" s="493">
        <f>N149*'Inndata Bygg'!K152</f>
        <v>0</v>
      </c>
      <c r="T149" s="494">
        <f>'Inndata Bygg'!G152*'Inndata Bygg'!K152*Transport_utslipp_til_avfallshånderting_per_kg</f>
        <v>0</v>
      </c>
      <c r="U149" s="330">
        <f>IF('Inndata Bygg'!E152 = 0, 0, 1.833*'Inndata Bygg'!X152*'Inndata Bygg'!K152*('Inndata Bygg'!G152*('Inndata Bygg'!L152*0.5+'Inndata Bygg'!M152*0.8) + (12/44)*('Inndata Bygg'!O152*'Inndata Bygg'!Q152+'Inndata Bygg'!S152*'Inndata Bygg'!U152)))</f>
        <v>0</v>
      </c>
      <c r="V149" s="335" cm="1">
        <f t="array" ref="V149">CalculateBiogenicCarbonUptake('ZERO-B Beregning'!$D$17,'Inndata Bygg'!H152,'Inndata Bygg'!G152,'Inndata Bygg'!L152,F149,AB149,AC149,AD149)</f>
        <v>0</v>
      </c>
      <c r="W149" s="576" cm="1">
        <f t="array" ref="W149">CalculateCementCarbonUptake('ZERO-B Beregning'!$D$17,'Inndata Bygg'!H152,'Inndata Bygg'!G152,'Inndata Bygg'!N152)</f>
        <v>0</v>
      </c>
      <c r="X149" s="331" cm="1">
        <f t="array" ref="X149">IF(SUM(F149:J149,L149)=0, 0, SUM(F149:J149,L149)*(1+'Inndata Bygg'!K152)*IF('Inndata Bygg'!H152&gt;50, 0, _xlfn.XLOOKUP('Inndata Bygg'!H152, År_etter_ferdigstillelse, IF(VALUE(LEFT('Inndata Bygg'!B152, 2))= 49, f_tid_x_f_tek_d_0_037_kumulativ, f_tid_x_f_tek_d_0_01_kumulativ))))</f>
        <v>0</v>
      </c>
      <c r="Y149" s="330">
        <f>IF(X149=0, 0, SUM(K149,M149)*(1+'Inndata Bygg'!K152)*IF('Inndata Bygg'!H152&gt;50, 0, _xlfn.XLOOKUP('Inndata Bygg'!H152, År_etter_ferdigstillelse, f_tid_x_f_tek_d_0_01_kumulativ)))</f>
        <v>0</v>
      </c>
      <c r="Z149" s="336">
        <f>IF(X149=0, 0, SUM(N149:P149)*(1+'Inndata Bygg'!K152)*IF('Inndata Bygg'!H152&gt;50, 0, _xlfn.XLOOKUP('Inndata Bygg'!H152, År_etter_ferdigstillelse, f_tid_x_f_tek_d_0_01_kumulativ)))</f>
        <v>0</v>
      </c>
      <c r="AA149" s="336">
        <f>IF(X149=0, 0, ('Inndata Bygg'!G152+'Inndata Bygg'!O152+'Inndata Bygg'!S152)*(1+'Inndata Bygg'!K152)*Transport_utslipp_til_avfallshånderting_per_kg*IF('Inndata Bygg'!H152&gt;50, 0, _xlfn.XLOOKUP('Inndata Bygg'!H152, År_etter_ferdigstillelse, f_tid_x_f_tek_d_0_01_kumulativ)))</f>
        <v>0</v>
      </c>
      <c r="AB149" s="580" cm="1">
        <f t="array" ref="AB149">CalculateEmissionsFromIncinerationOfWaste('ZERO-B Beregning'!$D$17,'Inndata Bygg'!H152,'Inndata Bygg'!G152,'Inndata Bygg'!X152,'Inndata Bygg'!L152,'Inndata Bygg'!M152,'Inndata Bygg'!B152)</f>
        <v>0</v>
      </c>
      <c r="AC149" s="335">
        <f>IF(('Inndata Bygg'!G152+'Inndata Bygg'!O152+'Inndata Bygg'!S152) = 0, 0,('Inndata Bygg'!G152+'Inndata Bygg'!O152+'Inndata Bygg'!S152)*(('Inndata Bygg'!X152+'Inndata Bygg'!Y152+'Inndata Bygg'!AA152)*Transport_utslipp_til_avfallshånderting_per_kg+('Inndata Bygg'!Z152*'ZERO-B Beregning'!D251/1000)*IF('ZERO-B Beregning'!F252=0,'ZERO-B Beregning'!D252,'ZERO-B Beregning'!F252))*_xlfn.XLOOKUP(51, År_etter_ferdigstillelse, f_tid_x_f_tek_d_0_01))</f>
        <v>0</v>
      </c>
      <c r="AD149" s="577">
        <f>IF(('Inndata Bygg'!G152+'Inndata Bygg'!O152+'Inndata Bygg'!S152) = 0, 0,1.833*('Inndata Bygg'!G152*('Inndata Bygg'!L152*0.5+'Inndata Bygg'!M152*0.8)+'Inndata Bygg'!O152*'Inndata Bygg'!Q152+'Inndata Bygg'!S152*'Inndata Bygg'!U152)*AG149*_xlfn.XLOOKUP(51, År_etter_ferdigstillelse,  f_tid_x_f_tek_d_0_01))</f>
        <v>0</v>
      </c>
      <c r="AE149" s="575" cm="1">
        <f t="array" ref="AE149">CalculateEmissionsReductionFromReuse('ZERO-B Beregning'!$D$17,'Inndata Bygg'!H152,'Inndata Bygg'!G152,'Inndata Bygg'!Z152,'Inndata Bygg'!X152,'Inndata Bygg'!Y152,F149,'Inndata Bygg'!B152)</f>
        <v>0</v>
      </c>
      <c r="AF149" s="333" cm="1">
        <f t="array" ref="AF149">CalculateEmissionReductionFromRecycling('ZERO-B Beregning'!$D$17,'Inndata Bygg'!H152,'Inndata Bygg'!G152,'Inndata Bygg'!AA152,'Inndata Bygg'!X152,'Inndata Bygg'!Y152,F149,'Inndata Bygg'!B152)</f>
        <v>0</v>
      </c>
      <c r="AG149" s="572">
        <f>IF(('Inndata Bygg'!G152+'Inndata Bygg'!O152+'Inndata Bygg'!S152) = 0, 0,'Inndata Bygg'!X152*Faktorer!$Z$58)</f>
        <v>0</v>
      </c>
      <c r="AH149" s="573">
        <f>IF(('Inndata Bygg'!G152+'Inndata Bygg'!O152+'Inndata Bygg'!S152) = 0, 0,'Inndata Bygg'!Z152+('Inndata Bygg'!X152+'Inndata Bygg'!Y152)*(1-Faktorer!$Z$58)*0.5)</f>
        <v>0</v>
      </c>
      <c r="AI149" s="574">
        <f>IF(('Inndata Bygg'!G152+'Inndata Bygg'!O152+'Inndata Bygg'!S152) = 0, 0,'Inndata Bygg'!AA152+('Inndata Bygg'!X152+'Inndata Bygg'!Y152)*(1-Faktorer!$Z$58)*0.5)</f>
        <v>0</v>
      </c>
      <c r="AJ149" s="634"/>
      <c r="AK149" s="90">
        <f t="shared" si="4"/>
        <v>0</v>
      </c>
      <c r="AL149" s="91">
        <f>'Resultater detaljert Bygg'!N149</f>
        <v>0</v>
      </c>
      <c r="AM149" s="91" t="str">
        <f>IF(F149=0,"",('Inndata Bygg'!E152+'Inndata Bygg'!F152)*ROUNDDOWN('Inndata Bygg'!I152,0)*(1+'Inndata Bygg'!K152))</f>
        <v/>
      </c>
    </row>
    <row r="150" spans="2:39">
      <c r="B150" s="339">
        <f>'Inndata Bygg'!B153</f>
        <v>0</v>
      </c>
      <c r="C150" s="340">
        <f>'Inndata Bygg'!C153</f>
        <v>0</v>
      </c>
      <c r="D150" s="341">
        <f>'Inndata Bygg'!D153</f>
        <v>0</v>
      </c>
      <c r="E150" s="421" cm="1">
        <f t="array" ref="E150">SUM(IFERROR(F150:AD150,0))</f>
        <v>0</v>
      </c>
      <c r="F150" s="330">
        <f>'Inndata Bygg'!E153</f>
        <v>0</v>
      </c>
      <c r="G150" s="330">
        <f>IF('Inndata Bygg'!AB153="Ja", -0.8*'Resultater detaljert Bygg'!F150, 0)</f>
        <v>0</v>
      </c>
      <c r="H150" s="330">
        <f>IF('Inndata Bygg'!AC153="Ja", -0.4*'Resultater detaljert Bygg'!$F150, 0)</f>
        <v>0</v>
      </c>
      <c r="I150" s="330">
        <f>IF('Inndata Bygg'!AD153="Ja", -1*'Resultater detaljert Bygg'!$F150, 0)</f>
        <v>0</v>
      </c>
      <c r="J150" s="330">
        <f>'Inndata Bygg'!O153*'Inndata Bygg'!P153</f>
        <v>0</v>
      </c>
      <c r="K150" s="330">
        <f>MAX(-0.75*(SUM('Resultater detaljert Bygg'!F150:J150)),-'Inndata Bygg'!O153*'Inndata Bygg'!Q153)</f>
        <v>0</v>
      </c>
      <c r="L150" s="330">
        <f>'Inndata Bygg'!S153*'Inndata Bygg'!T153</f>
        <v>0</v>
      </c>
      <c r="M150" s="330">
        <f>MAX(-0.75*(SUM('Resultater detaljert Bygg'!F150:I150,L150)),-'Inndata Bygg'!S153*'Inndata Bygg'!U153)</f>
        <v>0</v>
      </c>
      <c r="N150" s="331">
        <f>'Inndata Bygg'!F153</f>
        <v>0</v>
      </c>
      <c r="O150" s="330">
        <f>'Inndata Bygg'!O153*'Inndata Bygg'!R153</f>
        <v>0</v>
      </c>
      <c r="P150" s="332">
        <f>'Inndata Bygg'!S153*'Inndata Bygg'!V153</f>
        <v>0</v>
      </c>
      <c r="Q150" s="493">
        <f>SUM(F150:J150,L150)*'Inndata Bygg'!K153</f>
        <v>0</v>
      </c>
      <c r="R150" s="333">
        <f>(K150+M150)*'Inndata Bygg'!K153</f>
        <v>0</v>
      </c>
      <c r="S150" s="493">
        <f>N150*'Inndata Bygg'!K153</f>
        <v>0</v>
      </c>
      <c r="T150" s="494">
        <f>'Inndata Bygg'!G153*'Inndata Bygg'!K153*Transport_utslipp_til_avfallshånderting_per_kg</f>
        <v>0</v>
      </c>
      <c r="U150" s="330">
        <f>IF('Inndata Bygg'!E153 = 0, 0, 1.833*'Inndata Bygg'!X153*'Inndata Bygg'!K153*('Inndata Bygg'!G153*('Inndata Bygg'!L153*0.5+'Inndata Bygg'!M153*0.8) + (12/44)*('Inndata Bygg'!O153*'Inndata Bygg'!Q153+'Inndata Bygg'!S153*'Inndata Bygg'!U153)))</f>
        <v>0</v>
      </c>
      <c r="V150" s="335" cm="1">
        <f t="array" ref="V150">CalculateBiogenicCarbonUptake('ZERO-B Beregning'!$D$17,'Inndata Bygg'!H153,'Inndata Bygg'!G153,'Inndata Bygg'!L153,F150,AB150,AC150,AD150)</f>
        <v>0</v>
      </c>
      <c r="W150" s="576" cm="1">
        <f t="array" ref="W150">CalculateCementCarbonUptake('ZERO-B Beregning'!$D$17,'Inndata Bygg'!H153,'Inndata Bygg'!G153,'Inndata Bygg'!N153)</f>
        <v>0</v>
      </c>
      <c r="X150" s="331" cm="1">
        <f t="array" ref="X150">IF(SUM(F150:J150,L150)=0, 0, SUM(F150:J150,L150)*(1+'Inndata Bygg'!K153)*IF('Inndata Bygg'!H153&gt;50, 0, _xlfn.XLOOKUP('Inndata Bygg'!H153, År_etter_ferdigstillelse, IF(VALUE(LEFT('Inndata Bygg'!B153, 2))= 49, f_tid_x_f_tek_d_0_037_kumulativ, f_tid_x_f_tek_d_0_01_kumulativ))))</f>
        <v>0</v>
      </c>
      <c r="Y150" s="330">
        <f>IF(X150=0, 0, SUM(K150,M150)*(1+'Inndata Bygg'!K153)*IF('Inndata Bygg'!H153&gt;50, 0, _xlfn.XLOOKUP('Inndata Bygg'!H153, År_etter_ferdigstillelse, f_tid_x_f_tek_d_0_01_kumulativ)))</f>
        <v>0</v>
      </c>
      <c r="Z150" s="336">
        <f>IF(X150=0, 0, SUM(N150:P150)*(1+'Inndata Bygg'!K153)*IF('Inndata Bygg'!H153&gt;50, 0, _xlfn.XLOOKUP('Inndata Bygg'!H153, År_etter_ferdigstillelse, f_tid_x_f_tek_d_0_01_kumulativ)))</f>
        <v>0</v>
      </c>
      <c r="AA150" s="336">
        <f>IF(X150=0, 0, ('Inndata Bygg'!G153+'Inndata Bygg'!O153+'Inndata Bygg'!S153)*(1+'Inndata Bygg'!K153)*Transport_utslipp_til_avfallshånderting_per_kg*IF('Inndata Bygg'!H153&gt;50, 0, _xlfn.XLOOKUP('Inndata Bygg'!H153, År_etter_ferdigstillelse, f_tid_x_f_tek_d_0_01_kumulativ)))</f>
        <v>0</v>
      </c>
      <c r="AB150" s="580" cm="1">
        <f t="array" ref="AB150">CalculateEmissionsFromIncinerationOfWaste('ZERO-B Beregning'!$D$17,'Inndata Bygg'!H153,'Inndata Bygg'!G153,'Inndata Bygg'!X153,'Inndata Bygg'!L153,'Inndata Bygg'!M153,'Inndata Bygg'!B153)</f>
        <v>0</v>
      </c>
      <c r="AC150" s="335">
        <f>IF(('Inndata Bygg'!G153+'Inndata Bygg'!O153+'Inndata Bygg'!S153) = 0, 0,('Inndata Bygg'!G153+'Inndata Bygg'!O153+'Inndata Bygg'!S153)*(('Inndata Bygg'!X153+'Inndata Bygg'!Y153+'Inndata Bygg'!AA153)*Transport_utslipp_til_avfallshånderting_per_kg+('Inndata Bygg'!Z153*'ZERO-B Beregning'!D252/1000)*IF('ZERO-B Beregning'!F253=0,'ZERO-B Beregning'!D253,'ZERO-B Beregning'!F253))*_xlfn.XLOOKUP(51, År_etter_ferdigstillelse, f_tid_x_f_tek_d_0_01))</f>
        <v>0</v>
      </c>
      <c r="AD150" s="577">
        <f>IF(('Inndata Bygg'!G153+'Inndata Bygg'!O153+'Inndata Bygg'!S153) = 0, 0,1.833*('Inndata Bygg'!G153*('Inndata Bygg'!L153*0.5+'Inndata Bygg'!M153*0.8)+'Inndata Bygg'!O153*'Inndata Bygg'!Q153+'Inndata Bygg'!S153*'Inndata Bygg'!U153)*AG150*_xlfn.XLOOKUP(51, År_etter_ferdigstillelse,  f_tid_x_f_tek_d_0_01))</f>
        <v>0</v>
      </c>
      <c r="AE150" s="575" cm="1">
        <f t="array" ref="AE150">CalculateEmissionsReductionFromReuse('ZERO-B Beregning'!$D$17,'Inndata Bygg'!H153,'Inndata Bygg'!G153,'Inndata Bygg'!Z153,'Inndata Bygg'!X153,'Inndata Bygg'!Y153,F150,'Inndata Bygg'!B153)</f>
        <v>0</v>
      </c>
      <c r="AF150" s="333" cm="1">
        <f t="array" ref="AF150">CalculateEmissionReductionFromRecycling('ZERO-B Beregning'!$D$17,'Inndata Bygg'!H153,'Inndata Bygg'!G153,'Inndata Bygg'!AA153,'Inndata Bygg'!X153,'Inndata Bygg'!Y153,F150,'Inndata Bygg'!B153)</f>
        <v>0</v>
      </c>
      <c r="AG150" s="572">
        <f>IF(('Inndata Bygg'!G153+'Inndata Bygg'!O153+'Inndata Bygg'!S153) = 0, 0,'Inndata Bygg'!X153*Faktorer!$Z$58)</f>
        <v>0</v>
      </c>
      <c r="AH150" s="573">
        <f>IF(('Inndata Bygg'!G153+'Inndata Bygg'!O153+'Inndata Bygg'!S153) = 0, 0,'Inndata Bygg'!Z153+('Inndata Bygg'!X153+'Inndata Bygg'!Y153)*(1-Faktorer!$Z$58)*0.5)</f>
        <v>0</v>
      </c>
      <c r="AI150" s="574">
        <f>IF(('Inndata Bygg'!G153+'Inndata Bygg'!O153+'Inndata Bygg'!S153) = 0, 0,'Inndata Bygg'!AA153+('Inndata Bygg'!X153+'Inndata Bygg'!Y153)*(1-Faktorer!$Z$58)*0.5)</f>
        <v>0</v>
      </c>
      <c r="AJ150" s="634"/>
      <c r="AK150" s="90">
        <f t="shared" si="4"/>
        <v>0</v>
      </c>
      <c r="AL150" s="91">
        <f>'Resultater detaljert Bygg'!N150</f>
        <v>0</v>
      </c>
      <c r="AM150" s="91" t="str">
        <f>IF(F150=0,"",('Inndata Bygg'!E153+'Inndata Bygg'!F153)*ROUNDDOWN('Inndata Bygg'!I153,0)*(1+'Inndata Bygg'!K153))</f>
        <v/>
      </c>
    </row>
    <row r="151" spans="2:39">
      <c r="B151" s="339">
        <f>'Inndata Bygg'!B154</f>
        <v>0</v>
      </c>
      <c r="C151" s="340">
        <f>'Inndata Bygg'!C154</f>
        <v>0</v>
      </c>
      <c r="D151" s="341">
        <f>'Inndata Bygg'!D154</f>
        <v>0</v>
      </c>
      <c r="E151" s="421" cm="1">
        <f t="array" ref="E151">SUM(IFERROR(F151:AD151,0))</f>
        <v>0</v>
      </c>
      <c r="F151" s="330">
        <f>'Inndata Bygg'!E154</f>
        <v>0</v>
      </c>
      <c r="G151" s="330">
        <f>IF('Inndata Bygg'!AB154="Ja", -0.8*'Resultater detaljert Bygg'!F151, 0)</f>
        <v>0</v>
      </c>
      <c r="H151" s="330">
        <f>IF('Inndata Bygg'!AC154="Ja", -0.4*'Resultater detaljert Bygg'!$F151, 0)</f>
        <v>0</v>
      </c>
      <c r="I151" s="330">
        <f>IF('Inndata Bygg'!AD154="Ja", -1*'Resultater detaljert Bygg'!$F151, 0)</f>
        <v>0</v>
      </c>
      <c r="J151" s="330">
        <f>'Inndata Bygg'!O154*'Inndata Bygg'!P154</f>
        <v>0</v>
      </c>
      <c r="K151" s="330">
        <f>MAX(-0.75*(SUM('Resultater detaljert Bygg'!F151:J151)),-'Inndata Bygg'!O154*'Inndata Bygg'!Q154)</f>
        <v>0</v>
      </c>
      <c r="L151" s="330">
        <f>'Inndata Bygg'!S154*'Inndata Bygg'!T154</f>
        <v>0</v>
      </c>
      <c r="M151" s="330">
        <f>MAX(-0.75*(SUM('Resultater detaljert Bygg'!F151:I151,L151)),-'Inndata Bygg'!S154*'Inndata Bygg'!U154)</f>
        <v>0</v>
      </c>
      <c r="N151" s="331">
        <f>'Inndata Bygg'!F154</f>
        <v>0</v>
      </c>
      <c r="O151" s="330">
        <f>'Inndata Bygg'!O154*'Inndata Bygg'!R154</f>
        <v>0</v>
      </c>
      <c r="P151" s="332">
        <f>'Inndata Bygg'!S154*'Inndata Bygg'!V154</f>
        <v>0</v>
      </c>
      <c r="Q151" s="493">
        <f>SUM(F151:J151,L151)*'Inndata Bygg'!K154</f>
        <v>0</v>
      </c>
      <c r="R151" s="333">
        <f>(K151+M151)*'Inndata Bygg'!K154</f>
        <v>0</v>
      </c>
      <c r="S151" s="493">
        <f>N151*'Inndata Bygg'!K154</f>
        <v>0</v>
      </c>
      <c r="T151" s="494">
        <f>'Inndata Bygg'!G154*'Inndata Bygg'!K154*Transport_utslipp_til_avfallshånderting_per_kg</f>
        <v>0</v>
      </c>
      <c r="U151" s="330">
        <f>IF('Inndata Bygg'!E154 = 0, 0, 1.833*'Inndata Bygg'!X154*'Inndata Bygg'!K154*('Inndata Bygg'!G154*('Inndata Bygg'!L154*0.5+'Inndata Bygg'!M154*0.8) + (12/44)*('Inndata Bygg'!O154*'Inndata Bygg'!Q154+'Inndata Bygg'!S154*'Inndata Bygg'!U154)))</f>
        <v>0</v>
      </c>
      <c r="V151" s="335" cm="1">
        <f t="array" ref="V151">CalculateBiogenicCarbonUptake('ZERO-B Beregning'!$D$17,'Inndata Bygg'!H154,'Inndata Bygg'!G154,'Inndata Bygg'!L154,F151,AB151,AC151,AD151)</f>
        <v>0</v>
      </c>
      <c r="W151" s="576" cm="1">
        <f t="array" ref="W151">CalculateCementCarbonUptake('ZERO-B Beregning'!$D$17,'Inndata Bygg'!H154,'Inndata Bygg'!G154,'Inndata Bygg'!N154)</f>
        <v>0</v>
      </c>
      <c r="X151" s="331" cm="1">
        <f t="array" ref="X151">IF(SUM(F151:J151,L151)=0, 0, SUM(F151:J151,L151)*(1+'Inndata Bygg'!K154)*IF('Inndata Bygg'!H154&gt;50, 0, _xlfn.XLOOKUP('Inndata Bygg'!H154, År_etter_ferdigstillelse, IF(VALUE(LEFT('Inndata Bygg'!B154, 2))= 49, f_tid_x_f_tek_d_0_037_kumulativ, f_tid_x_f_tek_d_0_01_kumulativ))))</f>
        <v>0</v>
      </c>
      <c r="Y151" s="330">
        <f>IF(X151=0, 0, SUM(K151,M151)*(1+'Inndata Bygg'!K154)*IF('Inndata Bygg'!H154&gt;50, 0, _xlfn.XLOOKUP('Inndata Bygg'!H154, År_etter_ferdigstillelse, f_tid_x_f_tek_d_0_01_kumulativ)))</f>
        <v>0</v>
      </c>
      <c r="Z151" s="336">
        <f>IF(X151=0, 0, SUM(N151:P151)*(1+'Inndata Bygg'!K154)*IF('Inndata Bygg'!H154&gt;50, 0, _xlfn.XLOOKUP('Inndata Bygg'!H154, År_etter_ferdigstillelse, f_tid_x_f_tek_d_0_01_kumulativ)))</f>
        <v>0</v>
      </c>
      <c r="AA151" s="336">
        <f>IF(X151=0, 0, ('Inndata Bygg'!G154+'Inndata Bygg'!O154+'Inndata Bygg'!S154)*(1+'Inndata Bygg'!K154)*Transport_utslipp_til_avfallshånderting_per_kg*IF('Inndata Bygg'!H154&gt;50, 0, _xlfn.XLOOKUP('Inndata Bygg'!H154, År_etter_ferdigstillelse, f_tid_x_f_tek_d_0_01_kumulativ)))</f>
        <v>0</v>
      </c>
      <c r="AB151" s="580" cm="1">
        <f t="array" ref="AB151">CalculateEmissionsFromIncinerationOfWaste('ZERO-B Beregning'!$D$17,'Inndata Bygg'!H154,'Inndata Bygg'!G154,'Inndata Bygg'!X154,'Inndata Bygg'!L154,'Inndata Bygg'!M154,'Inndata Bygg'!B154)</f>
        <v>0</v>
      </c>
      <c r="AC151" s="335">
        <f>IF(('Inndata Bygg'!G154+'Inndata Bygg'!O154+'Inndata Bygg'!S154) = 0, 0,('Inndata Bygg'!G154+'Inndata Bygg'!O154+'Inndata Bygg'!S154)*(('Inndata Bygg'!X154+'Inndata Bygg'!Y154+'Inndata Bygg'!AA154)*Transport_utslipp_til_avfallshånderting_per_kg+('Inndata Bygg'!Z154*'ZERO-B Beregning'!D253/1000)*IF('ZERO-B Beregning'!F254=0,'ZERO-B Beregning'!D254,'ZERO-B Beregning'!F254))*_xlfn.XLOOKUP(51, År_etter_ferdigstillelse, f_tid_x_f_tek_d_0_01))</f>
        <v>0</v>
      </c>
      <c r="AD151" s="577">
        <f>IF(('Inndata Bygg'!G154+'Inndata Bygg'!O154+'Inndata Bygg'!S154) = 0, 0,1.833*('Inndata Bygg'!G154*('Inndata Bygg'!L154*0.5+'Inndata Bygg'!M154*0.8)+'Inndata Bygg'!O154*'Inndata Bygg'!Q154+'Inndata Bygg'!S154*'Inndata Bygg'!U154)*AG151*_xlfn.XLOOKUP(51, År_etter_ferdigstillelse,  f_tid_x_f_tek_d_0_01))</f>
        <v>0</v>
      </c>
      <c r="AE151" s="575" cm="1">
        <f t="array" ref="AE151">CalculateEmissionsReductionFromReuse('ZERO-B Beregning'!$D$17,'Inndata Bygg'!H154,'Inndata Bygg'!G154,'Inndata Bygg'!Z154,'Inndata Bygg'!X154,'Inndata Bygg'!Y154,F151,'Inndata Bygg'!B154)</f>
        <v>0</v>
      </c>
      <c r="AF151" s="333" cm="1">
        <f t="array" ref="AF151">CalculateEmissionReductionFromRecycling('ZERO-B Beregning'!$D$17,'Inndata Bygg'!H154,'Inndata Bygg'!G154,'Inndata Bygg'!AA154,'Inndata Bygg'!X154,'Inndata Bygg'!Y154,F151,'Inndata Bygg'!B154)</f>
        <v>0</v>
      </c>
      <c r="AG151" s="572">
        <f>IF(('Inndata Bygg'!G154+'Inndata Bygg'!O154+'Inndata Bygg'!S154) = 0, 0,'Inndata Bygg'!X154*Faktorer!$Z$58)</f>
        <v>0</v>
      </c>
      <c r="AH151" s="573">
        <f>IF(('Inndata Bygg'!G154+'Inndata Bygg'!O154+'Inndata Bygg'!S154) = 0, 0,'Inndata Bygg'!Z154+('Inndata Bygg'!X154+'Inndata Bygg'!Y154)*(1-Faktorer!$Z$58)*0.5)</f>
        <v>0</v>
      </c>
      <c r="AI151" s="574">
        <f>IF(('Inndata Bygg'!G154+'Inndata Bygg'!O154+'Inndata Bygg'!S154) = 0, 0,'Inndata Bygg'!AA154+('Inndata Bygg'!X154+'Inndata Bygg'!Y154)*(1-Faktorer!$Z$58)*0.5)</f>
        <v>0</v>
      </c>
      <c r="AJ151" s="634"/>
      <c r="AK151" s="90">
        <f t="shared" si="4"/>
        <v>0</v>
      </c>
      <c r="AL151" s="91">
        <f>'Resultater detaljert Bygg'!N151</f>
        <v>0</v>
      </c>
      <c r="AM151" s="91" t="str">
        <f>IF(F151=0,"",('Inndata Bygg'!E154+'Inndata Bygg'!F154)*ROUNDDOWN('Inndata Bygg'!I154,0)*(1+'Inndata Bygg'!K154))</f>
        <v/>
      </c>
    </row>
    <row r="152" spans="2:39">
      <c r="B152" s="339">
        <f>'Inndata Bygg'!B155</f>
        <v>0</v>
      </c>
      <c r="C152" s="340">
        <f>'Inndata Bygg'!C155</f>
        <v>0</v>
      </c>
      <c r="D152" s="341">
        <f>'Inndata Bygg'!D155</f>
        <v>0</v>
      </c>
      <c r="E152" s="421" cm="1">
        <f t="array" ref="E152">SUM(IFERROR(F152:AD152,0))</f>
        <v>0</v>
      </c>
      <c r="F152" s="330">
        <f>'Inndata Bygg'!E155</f>
        <v>0</v>
      </c>
      <c r="G152" s="330">
        <f>IF('Inndata Bygg'!AB155="Ja", -0.8*'Resultater detaljert Bygg'!F152, 0)</f>
        <v>0</v>
      </c>
      <c r="H152" s="330">
        <f>IF('Inndata Bygg'!AC155="Ja", -0.4*'Resultater detaljert Bygg'!$F152, 0)</f>
        <v>0</v>
      </c>
      <c r="I152" s="330">
        <f>IF('Inndata Bygg'!AD155="Ja", -1*'Resultater detaljert Bygg'!$F152, 0)</f>
        <v>0</v>
      </c>
      <c r="J152" s="330">
        <f>'Inndata Bygg'!O155*'Inndata Bygg'!P155</f>
        <v>0</v>
      </c>
      <c r="K152" s="330">
        <f>MAX(-0.75*(SUM('Resultater detaljert Bygg'!F152:J152)),-'Inndata Bygg'!O155*'Inndata Bygg'!Q155)</f>
        <v>0</v>
      </c>
      <c r="L152" s="330">
        <f>'Inndata Bygg'!S155*'Inndata Bygg'!T155</f>
        <v>0</v>
      </c>
      <c r="M152" s="330">
        <f>MAX(-0.75*(SUM('Resultater detaljert Bygg'!F152:I152,L152)),-'Inndata Bygg'!S155*'Inndata Bygg'!U155)</f>
        <v>0</v>
      </c>
      <c r="N152" s="331">
        <f>'Inndata Bygg'!F155</f>
        <v>0</v>
      </c>
      <c r="O152" s="330">
        <f>'Inndata Bygg'!O155*'Inndata Bygg'!R155</f>
        <v>0</v>
      </c>
      <c r="P152" s="332">
        <f>'Inndata Bygg'!S155*'Inndata Bygg'!V155</f>
        <v>0</v>
      </c>
      <c r="Q152" s="493">
        <f>SUM(F152:J152,L152)*'Inndata Bygg'!K155</f>
        <v>0</v>
      </c>
      <c r="R152" s="333">
        <f>(K152+M152)*'Inndata Bygg'!K155</f>
        <v>0</v>
      </c>
      <c r="S152" s="493">
        <f>N152*'Inndata Bygg'!K155</f>
        <v>0</v>
      </c>
      <c r="T152" s="494">
        <f>'Inndata Bygg'!G155*'Inndata Bygg'!K155*Transport_utslipp_til_avfallshånderting_per_kg</f>
        <v>0</v>
      </c>
      <c r="U152" s="330">
        <f>IF('Inndata Bygg'!E155 = 0, 0, 1.833*'Inndata Bygg'!X155*'Inndata Bygg'!K155*('Inndata Bygg'!G155*('Inndata Bygg'!L155*0.5+'Inndata Bygg'!M155*0.8) + (12/44)*('Inndata Bygg'!O155*'Inndata Bygg'!Q155+'Inndata Bygg'!S155*'Inndata Bygg'!U155)))</f>
        <v>0</v>
      </c>
      <c r="V152" s="335" cm="1">
        <f t="array" ref="V152">CalculateBiogenicCarbonUptake('ZERO-B Beregning'!$D$17,'Inndata Bygg'!H155,'Inndata Bygg'!G155,'Inndata Bygg'!L155,F152,AB152,AC152,AD152)</f>
        <v>0</v>
      </c>
      <c r="W152" s="576" cm="1">
        <f t="array" ref="W152">CalculateCementCarbonUptake('ZERO-B Beregning'!$D$17,'Inndata Bygg'!H155,'Inndata Bygg'!G155,'Inndata Bygg'!N155)</f>
        <v>0</v>
      </c>
      <c r="X152" s="331" cm="1">
        <f t="array" ref="X152">IF(SUM(F152:J152,L152)=0, 0, SUM(F152:J152,L152)*(1+'Inndata Bygg'!K155)*IF('Inndata Bygg'!H155&gt;50, 0, _xlfn.XLOOKUP('Inndata Bygg'!H155, År_etter_ferdigstillelse, IF(VALUE(LEFT('Inndata Bygg'!B155, 2))= 49, f_tid_x_f_tek_d_0_037_kumulativ, f_tid_x_f_tek_d_0_01_kumulativ))))</f>
        <v>0</v>
      </c>
      <c r="Y152" s="330">
        <f>IF(X152=0, 0, SUM(K152,M152)*(1+'Inndata Bygg'!K155)*IF('Inndata Bygg'!H155&gt;50, 0, _xlfn.XLOOKUP('Inndata Bygg'!H155, År_etter_ferdigstillelse, f_tid_x_f_tek_d_0_01_kumulativ)))</f>
        <v>0</v>
      </c>
      <c r="Z152" s="336">
        <f>IF(X152=0, 0, SUM(N152:P152)*(1+'Inndata Bygg'!K155)*IF('Inndata Bygg'!H155&gt;50, 0, _xlfn.XLOOKUP('Inndata Bygg'!H155, År_etter_ferdigstillelse, f_tid_x_f_tek_d_0_01_kumulativ)))</f>
        <v>0</v>
      </c>
      <c r="AA152" s="336">
        <f>IF(X152=0, 0, ('Inndata Bygg'!G155+'Inndata Bygg'!O155+'Inndata Bygg'!S155)*(1+'Inndata Bygg'!K155)*Transport_utslipp_til_avfallshånderting_per_kg*IF('Inndata Bygg'!H155&gt;50, 0, _xlfn.XLOOKUP('Inndata Bygg'!H155, År_etter_ferdigstillelse, f_tid_x_f_tek_d_0_01_kumulativ)))</f>
        <v>0</v>
      </c>
      <c r="AB152" s="580" cm="1">
        <f t="array" ref="AB152">CalculateEmissionsFromIncinerationOfWaste('ZERO-B Beregning'!$D$17,'Inndata Bygg'!H155,'Inndata Bygg'!G155,'Inndata Bygg'!X155,'Inndata Bygg'!L155,'Inndata Bygg'!M155,'Inndata Bygg'!B155)</f>
        <v>0</v>
      </c>
      <c r="AC152" s="335">
        <f>IF(('Inndata Bygg'!G155+'Inndata Bygg'!O155+'Inndata Bygg'!S155) = 0, 0,('Inndata Bygg'!G155+'Inndata Bygg'!O155+'Inndata Bygg'!S155)*(('Inndata Bygg'!X155+'Inndata Bygg'!Y155+'Inndata Bygg'!AA155)*Transport_utslipp_til_avfallshånderting_per_kg+('Inndata Bygg'!Z155*'ZERO-B Beregning'!D254/1000)*IF('ZERO-B Beregning'!F255=0,'ZERO-B Beregning'!D255,'ZERO-B Beregning'!F255))*_xlfn.XLOOKUP(51, År_etter_ferdigstillelse, f_tid_x_f_tek_d_0_01))</f>
        <v>0</v>
      </c>
      <c r="AD152" s="577">
        <f>IF(('Inndata Bygg'!G155+'Inndata Bygg'!O155+'Inndata Bygg'!S155) = 0, 0,1.833*('Inndata Bygg'!G155*('Inndata Bygg'!L155*0.5+'Inndata Bygg'!M155*0.8)+'Inndata Bygg'!O155*'Inndata Bygg'!Q155+'Inndata Bygg'!S155*'Inndata Bygg'!U155)*AG152*_xlfn.XLOOKUP(51, År_etter_ferdigstillelse,  f_tid_x_f_tek_d_0_01))</f>
        <v>0</v>
      </c>
      <c r="AE152" s="575" cm="1">
        <f t="array" ref="AE152">CalculateEmissionsReductionFromReuse('ZERO-B Beregning'!$D$17,'Inndata Bygg'!H155,'Inndata Bygg'!G155,'Inndata Bygg'!Z155,'Inndata Bygg'!X155,'Inndata Bygg'!Y155,F152,'Inndata Bygg'!B155)</f>
        <v>0</v>
      </c>
      <c r="AF152" s="333" cm="1">
        <f t="array" ref="AF152">CalculateEmissionReductionFromRecycling('ZERO-B Beregning'!$D$17,'Inndata Bygg'!H155,'Inndata Bygg'!G155,'Inndata Bygg'!AA155,'Inndata Bygg'!X155,'Inndata Bygg'!Y155,F152,'Inndata Bygg'!B155)</f>
        <v>0</v>
      </c>
      <c r="AG152" s="572">
        <f>IF(('Inndata Bygg'!G155+'Inndata Bygg'!O155+'Inndata Bygg'!S155) = 0, 0,'Inndata Bygg'!X155*Faktorer!$Z$58)</f>
        <v>0</v>
      </c>
      <c r="AH152" s="573">
        <f>IF(('Inndata Bygg'!G155+'Inndata Bygg'!O155+'Inndata Bygg'!S155) = 0, 0,'Inndata Bygg'!Z155+('Inndata Bygg'!X155+'Inndata Bygg'!Y155)*(1-Faktorer!$Z$58)*0.5)</f>
        <v>0</v>
      </c>
      <c r="AI152" s="574">
        <f>IF(('Inndata Bygg'!G155+'Inndata Bygg'!O155+'Inndata Bygg'!S155) = 0, 0,'Inndata Bygg'!AA155+('Inndata Bygg'!X155+'Inndata Bygg'!Y155)*(1-Faktorer!$Z$58)*0.5)</f>
        <v>0</v>
      </c>
      <c r="AJ152" s="634"/>
      <c r="AK152" s="90">
        <f t="shared" si="4"/>
        <v>0</v>
      </c>
      <c r="AL152" s="91">
        <f>'Resultater detaljert Bygg'!N152</f>
        <v>0</v>
      </c>
      <c r="AM152" s="91" t="str">
        <f>IF(F152=0,"",('Inndata Bygg'!E155+'Inndata Bygg'!F155)*ROUNDDOWN('Inndata Bygg'!I155,0)*(1+'Inndata Bygg'!K155))</f>
        <v/>
      </c>
    </row>
    <row r="153" spans="2:39">
      <c r="B153" s="339">
        <f>'Inndata Bygg'!B156</f>
        <v>0</v>
      </c>
      <c r="C153" s="340">
        <f>'Inndata Bygg'!C156</f>
        <v>0</v>
      </c>
      <c r="D153" s="341">
        <f>'Inndata Bygg'!D156</f>
        <v>0</v>
      </c>
      <c r="E153" s="421" cm="1">
        <f t="array" ref="E153">SUM(IFERROR(F153:AD153,0))</f>
        <v>0</v>
      </c>
      <c r="F153" s="330">
        <f>'Inndata Bygg'!E156</f>
        <v>0</v>
      </c>
      <c r="G153" s="330">
        <f>IF('Inndata Bygg'!AB156="Ja", -0.8*'Resultater detaljert Bygg'!F153, 0)</f>
        <v>0</v>
      </c>
      <c r="H153" s="330">
        <f>IF('Inndata Bygg'!AC156="Ja", -0.4*'Resultater detaljert Bygg'!$F153, 0)</f>
        <v>0</v>
      </c>
      <c r="I153" s="330">
        <f>IF('Inndata Bygg'!AD156="Ja", -1*'Resultater detaljert Bygg'!$F153, 0)</f>
        <v>0</v>
      </c>
      <c r="J153" s="330">
        <f>'Inndata Bygg'!O156*'Inndata Bygg'!P156</f>
        <v>0</v>
      </c>
      <c r="K153" s="330">
        <f>MAX(-0.75*(SUM('Resultater detaljert Bygg'!F153:J153)),-'Inndata Bygg'!O156*'Inndata Bygg'!Q156)</f>
        <v>0</v>
      </c>
      <c r="L153" s="330">
        <f>'Inndata Bygg'!S156*'Inndata Bygg'!T156</f>
        <v>0</v>
      </c>
      <c r="M153" s="330">
        <f>MAX(-0.75*(SUM('Resultater detaljert Bygg'!F153:I153,L153)),-'Inndata Bygg'!S156*'Inndata Bygg'!U156)</f>
        <v>0</v>
      </c>
      <c r="N153" s="331">
        <f>'Inndata Bygg'!F156</f>
        <v>0</v>
      </c>
      <c r="O153" s="330">
        <f>'Inndata Bygg'!O156*'Inndata Bygg'!R156</f>
        <v>0</v>
      </c>
      <c r="P153" s="332">
        <f>'Inndata Bygg'!S156*'Inndata Bygg'!V156</f>
        <v>0</v>
      </c>
      <c r="Q153" s="493">
        <f>SUM(F153:J153,L153)*'Inndata Bygg'!K156</f>
        <v>0</v>
      </c>
      <c r="R153" s="333">
        <f>(K153+M153)*'Inndata Bygg'!K156</f>
        <v>0</v>
      </c>
      <c r="S153" s="493">
        <f>N153*'Inndata Bygg'!K156</f>
        <v>0</v>
      </c>
      <c r="T153" s="494">
        <f>'Inndata Bygg'!G156*'Inndata Bygg'!K156*Transport_utslipp_til_avfallshånderting_per_kg</f>
        <v>0</v>
      </c>
      <c r="U153" s="330">
        <f>IF('Inndata Bygg'!E156 = 0, 0, 1.833*'Inndata Bygg'!X156*'Inndata Bygg'!K156*('Inndata Bygg'!G156*('Inndata Bygg'!L156*0.5+'Inndata Bygg'!M156*0.8) + (12/44)*('Inndata Bygg'!O156*'Inndata Bygg'!Q156+'Inndata Bygg'!S156*'Inndata Bygg'!U156)))</f>
        <v>0</v>
      </c>
      <c r="V153" s="335" cm="1">
        <f t="array" ref="V153">CalculateBiogenicCarbonUptake('ZERO-B Beregning'!$D$17,'Inndata Bygg'!H156,'Inndata Bygg'!G156,'Inndata Bygg'!L156,F153,AB153,AC153,AD153)</f>
        <v>0</v>
      </c>
      <c r="W153" s="576" cm="1">
        <f t="array" ref="W153">CalculateCementCarbonUptake('ZERO-B Beregning'!$D$17,'Inndata Bygg'!H156,'Inndata Bygg'!G156,'Inndata Bygg'!N156)</f>
        <v>0</v>
      </c>
      <c r="X153" s="331" cm="1">
        <f t="array" ref="X153">IF(SUM(F153:J153,L153)=0, 0, SUM(F153:J153,L153)*(1+'Inndata Bygg'!K156)*IF('Inndata Bygg'!H156&gt;50, 0, _xlfn.XLOOKUP('Inndata Bygg'!H156, År_etter_ferdigstillelse, IF(VALUE(LEFT('Inndata Bygg'!B156, 2))= 49, f_tid_x_f_tek_d_0_037_kumulativ, f_tid_x_f_tek_d_0_01_kumulativ))))</f>
        <v>0</v>
      </c>
      <c r="Y153" s="330">
        <f>IF(X153=0, 0, SUM(K153,M153)*(1+'Inndata Bygg'!K156)*IF('Inndata Bygg'!H156&gt;50, 0, _xlfn.XLOOKUP('Inndata Bygg'!H156, År_etter_ferdigstillelse, f_tid_x_f_tek_d_0_01_kumulativ)))</f>
        <v>0</v>
      </c>
      <c r="Z153" s="336">
        <f>IF(X153=0, 0, SUM(N153:P153)*(1+'Inndata Bygg'!K156)*IF('Inndata Bygg'!H156&gt;50, 0, _xlfn.XLOOKUP('Inndata Bygg'!H156, År_etter_ferdigstillelse, f_tid_x_f_tek_d_0_01_kumulativ)))</f>
        <v>0</v>
      </c>
      <c r="AA153" s="336">
        <f>IF(X153=0, 0, ('Inndata Bygg'!G156+'Inndata Bygg'!O156+'Inndata Bygg'!S156)*(1+'Inndata Bygg'!K156)*Transport_utslipp_til_avfallshånderting_per_kg*IF('Inndata Bygg'!H156&gt;50, 0, _xlfn.XLOOKUP('Inndata Bygg'!H156, År_etter_ferdigstillelse, f_tid_x_f_tek_d_0_01_kumulativ)))</f>
        <v>0</v>
      </c>
      <c r="AB153" s="580" cm="1">
        <f t="array" ref="AB153">CalculateEmissionsFromIncinerationOfWaste('ZERO-B Beregning'!$D$17,'Inndata Bygg'!H156,'Inndata Bygg'!G156,'Inndata Bygg'!X156,'Inndata Bygg'!L156,'Inndata Bygg'!M156,'Inndata Bygg'!B156)</f>
        <v>0</v>
      </c>
      <c r="AC153" s="335">
        <f>IF(('Inndata Bygg'!G156+'Inndata Bygg'!O156+'Inndata Bygg'!S156) = 0, 0,('Inndata Bygg'!G156+'Inndata Bygg'!O156+'Inndata Bygg'!S156)*(('Inndata Bygg'!X156+'Inndata Bygg'!Y156+'Inndata Bygg'!AA156)*Transport_utslipp_til_avfallshånderting_per_kg+('Inndata Bygg'!Z156*'ZERO-B Beregning'!D255/1000)*IF('ZERO-B Beregning'!F256=0,'ZERO-B Beregning'!D256,'ZERO-B Beregning'!F256))*_xlfn.XLOOKUP(51, År_etter_ferdigstillelse, f_tid_x_f_tek_d_0_01))</f>
        <v>0</v>
      </c>
      <c r="AD153" s="577">
        <f>IF(('Inndata Bygg'!G156+'Inndata Bygg'!O156+'Inndata Bygg'!S156) = 0, 0,1.833*('Inndata Bygg'!G156*('Inndata Bygg'!L156*0.5+'Inndata Bygg'!M156*0.8)+'Inndata Bygg'!O156*'Inndata Bygg'!Q156+'Inndata Bygg'!S156*'Inndata Bygg'!U156)*AG153*_xlfn.XLOOKUP(51, År_etter_ferdigstillelse,  f_tid_x_f_tek_d_0_01))</f>
        <v>0</v>
      </c>
      <c r="AE153" s="575" cm="1">
        <f t="array" ref="AE153">CalculateEmissionsReductionFromReuse('ZERO-B Beregning'!$D$17,'Inndata Bygg'!H156,'Inndata Bygg'!G156,'Inndata Bygg'!Z156,'Inndata Bygg'!X156,'Inndata Bygg'!Y156,F153,'Inndata Bygg'!B156)</f>
        <v>0</v>
      </c>
      <c r="AF153" s="333" cm="1">
        <f t="array" ref="AF153">CalculateEmissionReductionFromRecycling('ZERO-B Beregning'!$D$17,'Inndata Bygg'!H156,'Inndata Bygg'!G156,'Inndata Bygg'!AA156,'Inndata Bygg'!X156,'Inndata Bygg'!Y156,F153,'Inndata Bygg'!B156)</f>
        <v>0</v>
      </c>
      <c r="AG153" s="572">
        <f>IF(('Inndata Bygg'!G156+'Inndata Bygg'!O156+'Inndata Bygg'!S156) = 0, 0,'Inndata Bygg'!X156*Faktorer!$Z$58)</f>
        <v>0</v>
      </c>
      <c r="AH153" s="573">
        <f>IF(('Inndata Bygg'!G156+'Inndata Bygg'!O156+'Inndata Bygg'!S156) = 0, 0,'Inndata Bygg'!Z156+('Inndata Bygg'!X156+'Inndata Bygg'!Y156)*(1-Faktorer!$Z$58)*0.5)</f>
        <v>0</v>
      </c>
      <c r="AI153" s="574">
        <f>IF(('Inndata Bygg'!G156+'Inndata Bygg'!O156+'Inndata Bygg'!S156) = 0, 0,'Inndata Bygg'!AA156+('Inndata Bygg'!X156+'Inndata Bygg'!Y156)*(1-Faktorer!$Z$58)*0.5)</f>
        <v>0</v>
      </c>
      <c r="AJ153" s="634"/>
      <c r="AK153" s="90">
        <f t="shared" si="4"/>
        <v>0</v>
      </c>
      <c r="AL153" s="91">
        <f>'Resultater detaljert Bygg'!N153</f>
        <v>0</v>
      </c>
      <c r="AM153" s="91" t="str">
        <f>IF(F153=0,"",('Inndata Bygg'!E156+'Inndata Bygg'!F156)*ROUNDDOWN('Inndata Bygg'!I156,0)*(1+'Inndata Bygg'!K156))</f>
        <v/>
      </c>
    </row>
    <row r="154" spans="2:39">
      <c r="B154" s="339">
        <f>'Inndata Bygg'!B157</f>
        <v>0</v>
      </c>
      <c r="C154" s="340">
        <f>'Inndata Bygg'!C157</f>
        <v>0</v>
      </c>
      <c r="D154" s="341">
        <f>'Inndata Bygg'!D157</f>
        <v>0</v>
      </c>
      <c r="E154" s="421" cm="1">
        <f t="array" ref="E154">SUM(IFERROR(F154:AD154,0))</f>
        <v>0</v>
      </c>
      <c r="F154" s="330">
        <f>'Inndata Bygg'!E157</f>
        <v>0</v>
      </c>
      <c r="G154" s="330">
        <f>IF('Inndata Bygg'!AB157="Ja", -0.8*'Resultater detaljert Bygg'!F154, 0)</f>
        <v>0</v>
      </c>
      <c r="H154" s="330">
        <f>IF('Inndata Bygg'!AC157="Ja", -0.4*'Resultater detaljert Bygg'!$F154, 0)</f>
        <v>0</v>
      </c>
      <c r="I154" s="330">
        <f>IF('Inndata Bygg'!AD157="Ja", -1*'Resultater detaljert Bygg'!$F154, 0)</f>
        <v>0</v>
      </c>
      <c r="J154" s="330">
        <f>'Inndata Bygg'!O157*'Inndata Bygg'!P157</f>
        <v>0</v>
      </c>
      <c r="K154" s="330">
        <f>MAX(-0.75*(SUM('Resultater detaljert Bygg'!F154:J154)),-'Inndata Bygg'!O157*'Inndata Bygg'!Q157)</f>
        <v>0</v>
      </c>
      <c r="L154" s="330">
        <f>'Inndata Bygg'!S157*'Inndata Bygg'!T157</f>
        <v>0</v>
      </c>
      <c r="M154" s="330">
        <f>MAX(-0.75*(SUM('Resultater detaljert Bygg'!F154:I154,L154)),-'Inndata Bygg'!S157*'Inndata Bygg'!U157)</f>
        <v>0</v>
      </c>
      <c r="N154" s="331">
        <f>'Inndata Bygg'!F157</f>
        <v>0</v>
      </c>
      <c r="O154" s="330">
        <f>'Inndata Bygg'!O157*'Inndata Bygg'!R157</f>
        <v>0</v>
      </c>
      <c r="P154" s="332">
        <f>'Inndata Bygg'!S157*'Inndata Bygg'!V157</f>
        <v>0</v>
      </c>
      <c r="Q154" s="493">
        <f>SUM(F154:J154,L154)*'Inndata Bygg'!K157</f>
        <v>0</v>
      </c>
      <c r="R154" s="333">
        <f>(K154+M154)*'Inndata Bygg'!K157</f>
        <v>0</v>
      </c>
      <c r="S154" s="493">
        <f>N154*'Inndata Bygg'!K157</f>
        <v>0</v>
      </c>
      <c r="T154" s="494">
        <f>'Inndata Bygg'!G157*'Inndata Bygg'!K157*Transport_utslipp_til_avfallshånderting_per_kg</f>
        <v>0</v>
      </c>
      <c r="U154" s="330">
        <f>IF('Inndata Bygg'!E157 = 0, 0, 1.833*'Inndata Bygg'!X157*'Inndata Bygg'!K157*('Inndata Bygg'!G157*('Inndata Bygg'!L157*0.5+'Inndata Bygg'!M157*0.8) + (12/44)*('Inndata Bygg'!O157*'Inndata Bygg'!Q157+'Inndata Bygg'!S157*'Inndata Bygg'!U157)))</f>
        <v>0</v>
      </c>
      <c r="V154" s="335" cm="1">
        <f t="array" ref="V154">CalculateBiogenicCarbonUptake('ZERO-B Beregning'!$D$17,'Inndata Bygg'!H157,'Inndata Bygg'!G157,'Inndata Bygg'!L157,F154,AB154,AC154,AD154)</f>
        <v>0</v>
      </c>
      <c r="W154" s="576" cm="1">
        <f t="array" ref="W154">CalculateCementCarbonUptake('ZERO-B Beregning'!$D$17,'Inndata Bygg'!H157,'Inndata Bygg'!G157,'Inndata Bygg'!N157)</f>
        <v>0</v>
      </c>
      <c r="X154" s="331" cm="1">
        <f t="array" ref="X154">IF(SUM(F154:J154,L154)=0, 0, SUM(F154:J154,L154)*(1+'Inndata Bygg'!K157)*IF('Inndata Bygg'!H157&gt;50, 0, _xlfn.XLOOKUP('Inndata Bygg'!H157, År_etter_ferdigstillelse, IF(VALUE(LEFT('Inndata Bygg'!B157, 2))= 49, f_tid_x_f_tek_d_0_037_kumulativ, f_tid_x_f_tek_d_0_01_kumulativ))))</f>
        <v>0</v>
      </c>
      <c r="Y154" s="330">
        <f>IF(X154=0, 0, SUM(K154,M154)*(1+'Inndata Bygg'!K157)*IF('Inndata Bygg'!H157&gt;50, 0, _xlfn.XLOOKUP('Inndata Bygg'!H157, År_etter_ferdigstillelse, f_tid_x_f_tek_d_0_01_kumulativ)))</f>
        <v>0</v>
      </c>
      <c r="Z154" s="336">
        <f>IF(X154=0, 0, SUM(N154:P154)*(1+'Inndata Bygg'!K157)*IF('Inndata Bygg'!H157&gt;50, 0, _xlfn.XLOOKUP('Inndata Bygg'!H157, År_etter_ferdigstillelse, f_tid_x_f_tek_d_0_01_kumulativ)))</f>
        <v>0</v>
      </c>
      <c r="AA154" s="336">
        <f>IF(X154=0, 0, ('Inndata Bygg'!G157+'Inndata Bygg'!O157+'Inndata Bygg'!S157)*(1+'Inndata Bygg'!K157)*Transport_utslipp_til_avfallshånderting_per_kg*IF('Inndata Bygg'!H157&gt;50, 0, _xlfn.XLOOKUP('Inndata Bygg'!H157, År_etter_ferdigstillelse, f_tid_x_f_tek_d_0_01_kumulativ)))</f>
        <v>0</v>
      </c>
      <c r="AB154" s="580" cm="1">
        <f t="array" ref="AB154">CalculateEmissionsFromIncinerationOfWaste('ZERO-B Beregning'!$D$17,'Inndata Bygg'!H157,'Inndata Bygg'!G157,'Inndata Bygg'!X157,'Inndata Bygg'!L157,'Inndata Bygg'!M157,'Inndata Bygg'!B157)</f>
        <v>0</v>
      </c>
      <c r="AC154" s="335">
        <f>IF(('Inndata Bygg'!G157+'Inndata Bygg'!O157+'Inndata Bygg'!S157) = 0, 0,('Inndata Bygg'!G157+'Inndata Bygg'!O157+'Inndata Bygg'!S157)*(('Inndata Bygg'!X157+'Inndata Bygg'!Y157+'Inndata Bygg'!AA157)*Transport_utslipp_til_avfallshånderting_per_kg+('Inndata Bygg'!Z157*'ZERO-B Beregning'!D256/1000)*IF('ZERO-B Beregning'!F257=0,'ZERO-B Beregning'!D257,'ZERO-B Beregning'!F257))*_xlfn.XLOOKUP(51, År_etter_ferdigstillelse, f_tid_x_f_tek_d_0_01))</f>
        <v>0</v>
      </c>
      <c r="AD154" s="577">
        <f>IF(('Inndata Bygg'!G157+'Inndata Bygg'!O157+'Inndata Bygg'!S157) = 0, 0,1.833*('Inndata Bygg'!G157*('Inndata Bygg'!L157*0.5+'Inndata Bygg'!M157*0.8)+'Inndata Bygg'!O157*'Inndata Bygg'!Q157+'Inndata Bygg'!S157*'Inndata Bygg'!U157)*AG154*_xlfn.XLOOKUP(51, År_etter_ferdigstillelse,  f_tid_x_f_tek_d_0_01))</f>
        <v>0</v>
      </c>
      <c r="AE154" s="575" cm="1">
        <f t="array" ref="AE154">CalculateEmissionsReductionFromReuse('ZERO-B Beregning'!$D$17,'Inndata Bygg'!H157,'Inndata Bygg'!G157,'Inndata Bygg'!Z157,'Inndata Bygg'!X157,'Inndata Bygg'!Y157,F154,'Inndata Bygg'!B157)</f>
        <v>0</v>
      </c>
      <c r="AF154" s="333" cm="1">
        <f t="array" ref="AF154">CalculateEmissionReductionFromRecycling('ZERO-B Beregning'!$D$17,'Inndata Bygg'!H157,'Inndata Bygg'!G157,'Inndata Bygg'!AA157,'Inndata Bygg'!X157,'Inndata Bygg'!Y157,F154,'Inndata Bygg'!B157)</f>
        <v>0</v>
      </c>
      <c r="AG154" s="572">
        <f>IF(('Inndata Bygg'!G157+'Inndata Bygg'!O157+'Inndata Bygg'!S157) = 0, 0,'Inndata Bygg'!X157*Faktorer!$Z$58)</f>
        <v>0</v>
      </c>
      <c r="AH154" s="573">
        <f>IF(('Inndata Bygg'!G157+'Inndata Bygg'!O157+'Inndata Bygg'!S157) = 0, 0,'Inndata Bygg'!Z157+('Inndata Bygg'!X157+'Inndata Bygg'!Y157)*(1-Faktorer!$Z$58)*0.5)</f>
        <v>0</v>
      </c>
      <c r="AI154" s="574">
        <f>IF(('Inndata Bygg'!G157+'Inndata Bygg'!O157+'Inndata Bygg'!S157) = 0, 0,'Inndata Bygg'!AA157+('Inndata Bygg'!X157+'Inndata Bygg'!Y157)*(1-Faktorer!$Z$58)*0.5)</f>
        <v>0</v>
      </c>
      <c r="AJ154" s="634"/>
      <c r="AK154" s="90">
        <f t="shared" si="4"/>
        <v>0</v>
      </c>
      <c r="AL154" s="91">
        <f>'Resultater detaljert Bygg'!N154</f>
        <v>0</v>
      </c>
      <c r="AM154" s="91" t="str">
        <f>IF(F154=0,"",('Inndata Bygg'!E157+'Inndata Bygg'!F157)*ROUNDDOWN('Inndata Bygg'!I157,0)*(1+'Inndata Bygg'!K157))</f>
        <v/>
      </c>
    </row>
    <row r="155" spans="2:39">
      <c r="B155" s="339">
        <f>'Inndata Bygg'!B158</f>
        <v>0</v>
      </c>
      <c r="C155" s="340">
        <f>'Inndata Bygg'!C158</f>
        <v>0</v>
      </c>
      <c r="D155" s="341">
        <f>'Inndata Bygg'!D158</f>
        <v>0</v>
      </c>
      <c r="E155" s="421" cm="1">
        <f t="array" ref="E155">SUM(IFERROR(F155:AD155,0))</f>
        <v>0</v>
      </c>
      <c r="F155" s="330">
        <f>'Inndata Bygg'!E158</f>
        <v>0</v>
      </c>
      <c r="G155" s="330">
        <f>IF('Inndata Bygg'!AB158="Ja", -0.8*'Resultater detaljert Bygg'!F155, 0)</f>
        <v>0</v>
      </c>
      <c r="H155" s="330">
        <f>IF('Inndata Bygg'!AC158="Ja", -0.4*'Resultater detaljert Bygg'!$F155, 0)</f>
        <v>0</v>
      </c>
      <c r="I155" s="330">
        <f>IF('Inndata Bygg'!AD158="Ja", -1*'Resultater detaljert Bygg'!$F155, 0)</f>
        <v>0</v>
      </c>
      <c r="J155" s="330">
        <f>'Inndata Bygg'!O158*'Inndata Bygg'!P158</f>
        <v>0</v>
      </c>
      <c r="K155" s="330">
        <f>MAX(-0.75*(SUM('Resultater detaljert Bygg'!F155:J155)),-'Inndata Bygg'!O158*'Inndata Bygg'!Q158)</f>
        <v>0</v>
      </c>
      <c r="L155" s="330">
        <f>'Inndata Bygg'!S158*'Inndata Bygg'!T158</f>
        <v>0</v>
      </c>
      <c r="M155" s="330">
        <f>MAX(-0.75*(SUM('Resultater detaljert Bygg'!F155:I155,L155)),-'Inndata Bygg'!S158*'Inndata Bygg'!U158)</f>
        <v>0</v>
      </c>
      <c r="N155" s="331">
        <f>'Inndata Bygg'!F158</f>
        <v>0</v>
      </c>
      <c r="O155" s="330">
        <f>'Inndata Bygg'!O158*'Inndata Bygg'!R158</f>
        <v>0</v>
      </c>
      <c r="P155" s="332">
        <f>'Inndata Bygg'!S158*'Inndata Bygg'!V158</f>
        <v>0</v>
      </c>
      <c r="Q155" s="493">
        <f>SUM(F155:J155,L155)*'Inndata Bygg'!K158</f>
        <v>0</v>
      </c>
      <c r="R155" s="333">
        <f>(K155+M155)*'Inndata Bygg'!K158</f>
        <v>0</v>
      </c>
      <c r="S155" s="493">
        <f>N155*'Inndata Bygg'!K158</f>
        <v>0</v>
      </c>
      <c r="T155" s="494">
        <f>'Inndata Bygg'!G158*'Inndata Bygg'!K158*Transport_utslipp_til_avfallshånderting_per_kg</f>
        <v>0</v>
      </c>
      <c r="U155" s="330">
        <f>IF('Inndata Bygg'!E158 = 0, 0, 1.833*'Inndata Bygg'!X158*'Inndata Bygg'!K158*('Inndata Bygg'!G158*('Inndata Bygg'!L158*0.5+'Inndata Bygg'!M158*0.8) + (12/44)*('Inndata Bygg'!O158*'Inndata Bygg'!Q158+'Inndata Bygg'!S158*'Inndata Bygg'!U158)))</f>
        <v>0</v>
      </c>
      <c r="V155" s="335" cm="1">
        <f t="array" ref="V155">CalculateBiogenicCarbonUptake('ZERO-B Beregning'!$D$17,'Inndata Bygg'!H158,'Inndata Bygg'!G158,'Inndata Bygg'!L158,F155,AB155,AC155,AD155)</f>
        <v>0</v>
      </c>
      <c r="W155" s="576" cm="1">
        <f t="array" ref="W155">CalculateCementCarbonUptake('ZERO-B Beregning'!$D$17,'Inndata Bygg'!H158,'Inndata Bygg'!G158,'Inndata Bygg'!N158)</f>
        <v>0</v>
      </c>
      <c r="X155" s="331" cm="1">
        <f t="array" ref="X155">IF(SUM(F155:J155,L155)=0, 0, SUM(F155:J155,L155)*(1+'Inndata Bygg'!K158)*IF('Inndata Bygg'!H158&gt;50, 0, _xlfn.XLOOKUP('Inndata Bygg'!H158, År_etter_ferdigstillelse, IF(VALUE(LEFT('Inndata Bygg'!B158, 2))= 49, f_tid_x_f_tek_d_0_037_kumulativ, f_tid_x_f_tek_d_0_01_kumulativ))))</f>
        <v>0</v>
      </c>
      <c r="Y155" s="330">
        <f>IF(X155=0, 0, SUM(K155,M155)*(1+'Inndata Bygg'!K158)*IF('Inndata Bygg'!H158&gt;50, 0, _xlfn.XLOOKUP('Inndata Bygg'!H158, År_etter_ferdigstillelse, f_tid_x_f_tek_d_0_01_kumulativ)))</f>
        <v>0</v>
      </c>
      <c r="Z155" s="336">
        <f>IF(X155=0, 0, SUM(N155:P155)*(1+'Inndata Bygg'!K158)*IF('Inndata Bygg'!H158&gt;50, 0, _xlfn.XLOOKUP('Inndata Bygg'!H158, År_etter_ferdigstillelse, f_tid_x_f_tek_d_0_01_kumulativ)))</f>
        <v>0</v>
      </c>
      <c r="AA155" s="336">
        <f>IF(X155=0, 0, ('Inndata Bygg'!G158+'Inndata Bygg'!O158+'Inndata Bygg'!S158)*(1+'Inndata Bygg'!K158)*Transport_utslipp_til_avfallshånderting_per_kg*IF('Inndata Bygg'!H158&gt;50, 0, _xlfn.XLOOKUP('Inndata Bygg'!H158, År_etter_ferdigstillelse, f_tid_x_f_tek_d_0_01_kumulativ)))</f>
        <v>0</v>
      </c>
      <c r="AB155" s="580" cm="1">
        <f t="array" ref="AB155">CalculateEmissionsFromIncinerationOfWaste('ZERO-B Beregning'!$D$17,'Inndata Bygg'!H158,'Inndata Bygg'!G158,'Inndata Bygg'!X158,'Inndata Bygg'!L158,'Inndata Bygg'!M158,'Inndata Bygg'!B158)</f>
        <v>0</v>
      </c>
      <c r="AC155" s="335">
        <f>IF(('Inndata Bygg'!G158+'Inndata Bygg'!O158+'Inndata Bygg'!S158) = 0, 0,('Inndata Bygg'!G158+'Inndata Bygg'!O158+'Inndata Bygg'!S158)*(('Inndata Bygg'!X158+'Inndata Bygg'!Y158+'Inndata Bygg'!AA158)*Transport_utslipp_til_avfallshånderting_per_kg+('Inndata Bygg'!Z158*'ZERO-B Beregning'!D257/1000)*IF('ZERO-B Beregning'!F258=0,'ZERO-B Beregning'!D258,'ZERO-B Beregning'!F258))*_xlfn.XLOOKUP(51, År_etter_ferdigstillelse, f_tid_x_f_tek_d_0_01))</f>
        <v>0</v>
      </c>
      <c r="AD155" s="577">
        <f>IF(('Inndata Bygg'!G158+'Inndata Bygg'!O158+'Inndata Bygg'!S158) = 0, 0,1.833*('Inndata Bygg'!G158*('Inndata Bygg'!L158*0.5+'Inndata Bygg'!M158*0.8)+'Inndata Bygg'!O158*'Inndata Bygg'!Q158+'Inndata Bygg'!S158*'Inndata Bygg'!U158)*AG155*_xlfn.XLOOKUP(51, År_etter_ferdigstillelse,  f_tid_x_f_tek_d_0_01))</f>
        <v>0</v>
      </c>
      <c r="AE155" s="575" cm="1">
        <f t="array" ref="AE155">CalculateEmissionsReductionFromReuse('ZERO-B Beregning'!$D$17,'Inndata Bygg'!H158,'Inndata Bygg'!G158,'Inndata Bygg'!Z158,'Inndata Bygg'!X158,'Inndata Bygg'!Y158,F155,'Inndata Bygg'!B158)</f>
        <v>0</v>
      </c>
      <c r="AF155" s="333" cm="1">
        <f t="array" ref="AF155">CalculateEmissionReductionFromRecycling('ZERO-B Beregning'!$D$17,'Inndata Bygg'!H158,'Inndata Bygg'!G158,'Inndata Bygg'!AA158,'Inndata Bygg'!X158,'Inndata Bygg'!Y158,F155,'Inndata Bygg'!B158)</f>
        <v>0</v>
      </c>
      <c r="AG155" s="572">
        <f>IF(('Inndata Bygg'!G158+'Inndata Bygg'!O158+'Inndata Bygg'!S158) = 0, 0,'Inndata Bygg'!X158*Faktorer!$Z$58)</f>
        <v>0</v>
      </c>
      <c r="AH155" s="573">
        <f>IF(('Inndata Bygg'!G158+'Inndata Bygg'!O158+'Inndata Bygg'!S158) = 0, 0,'Inndata Bygg'!Z158+('Inndata Bygg'!X158+'Inndata Bygg'!Y158)*(1-Faktorer!$Z$58)*0.5)</f>
        <v>0</v>
      </c>
      <c r="AI155" s="574">
        <f>IF(('Inndata Bygg'!G158+'Inndata Bygg'!O158+'Inndata Bygg'!S158) = 0, 0,'Inndata Bygg'!AA158+('Inndata Bygg'!X158+'Inndata Bygg'!Y158)*(1-Faktorer!$Z$58)*0.5)</f>
        <v>0</v>
      </c>
      <c r="AJ155" s="634"/>
      <c r="AK155" s="90">
        <f t="shared" si="4"/>
        <v>0</v>
      </c>
      <c r="AL155" s="91">
        <f>'Resultater detaljert Bygg'!N155</f>
        <v>0</v>
      </c>
      <c r="AM155" s="91" t="str">
        <f>IF(F155=0,"",('Inndata Bygg'!E158+'Inndata Bygg'!F158)*ROUNDDOWN('Inndata Bygg'!I158,0)*(1+'Inndata Bygg'!K158))</f>
        <v/>
      </c>
    </row>
    <row r="156" spans="2:39">
      <c r="B156" s="339">
        <f>'Inndata Bygg'!B159</f>
        <v>0</v>
      </c>
      <c r="C156" s="340">
        <f>'Inndata Bygg'!C159</f>
        <v>0</v>
      </c>
      <c r="D156" s="341">
        <f>'Inndata Bygg'!D159</f>
        <v>0</v>
      </c>
      <c r="E156" s="421" cm="1">
        <f t="array" ref="E156">SUM(IFERROR(F156:AD156,0))</f>
        <v>0</v>
      </c>
      <c r="F156" s="330">
        <f>'Inndata Bygg'!E159</f>
        <v>0</v>
      </c>
      <c r="G156" s="330">
        <f>IF('Inndata Bygg'!AB159="Ja", -0.8*'Resultater detaljert Bygg'!F156, 0)</f>
        <v>0</v>
      </c>
      <c r="H156" s="330">
        <f>IF('Inndata Bygg'!AC159="Ja", -0.4*'Resultater detaljert Bygg'!$F156, 0)</f>
        <v>0</v>
      </c>
      <c r="I156" s="330">
        <f>IF('Inndata Bygg'!AD159="Ja", -1*'Resultater detaljert Bygg'!$F156, 0)</f>
        <v>0</v>
      </c>
      <c r="J156" s="330">
        <f>'Inndata Bygg'!O159*'Inndata Bygg'!P159</f>
        <v>0</v>
      </c>
      <c r="K156" s="330">
        <f>MAX(-0.75*(SUM('Resultater detaljert Bygg'!F156:J156)),-'Inndata Bygg'!O159*'Inndata Bygg'!Q159)</f>
        <v>0</v>
      </c>
      <c r="L156" s="330">
        <f>'Inndata Bygg'!S159*'Inndata Bygg'!T159</f>
        <v>0</v>
      </c>
      <c r="M156" s="330">
        <f>MAX(-0.75*(SUM('Resultater detaljert Bygg'!F156:I156,L156)),-'Inndata Bygg'!S159*'Inndata Bygg'!U159)</f>
        <v>0</v>
      </c>
      <c r="N156" s="331">
        <f>'Inndata Bygg'!F159</f>
        <v>0</v>
      </c>
      <c r="O156" s="330">
        <f>'Inndata Bygg'!O159*'Inndata Bygg'!R159</f>
        <v>0</v>
      </c>
      <c r="P156" s="332">
        <f>'Inndata Bygg'!S159*'Inndata Bygg'!V159</f>
        <v>0</v>
      </c>
      <c r="Q156" s="493">
        <f>SUM(F156:J156,L156)*'Inndata Bygg'!K159</f>
        <v>0</v>
      </c>
      <c r="R156" s="333">
        <f>(K156+M156)*'Inndata Bygg'!K159</f>
        <v>0</v>
      </c>
      <c r="S156" s="493">
        <f>N156*'Inndata Bygg'!K159</f>
        <v>0</v>
      </c>
      <c r="T156" s="494">
        <f>'Inndata Bygg'!G159*'Inndata Bygg'!K159*Transport_utslipp_til_avfallshånderting_per_kg</f>
        <v>0</v>
      </c>
      <c r="U156" s="330">
        <f>IF('Inndata Bygg'!E159 = 0, 0, 1.833*'Inndata Bygg'!X159*'Inndata Bygg'!K159*('Inndata Bygg'!G159*('Inndata Bygg'!L159*0.5+'Inndata Bygg'!M159*0.8) + (12/44)*('Inndata Bygg'!O159*'Inndata Bygg'!Q159+'Inndata Bygg'!S159*'Inndata Bygg'!U159)))</f>
        <v>0</v>
      </c>
      <c r="V156" s="335" cm="1">
        <f t="array" ref="V156">CalculateBiogenicCarbonUptake('ZERO-B Beregning'!$D$17,'Inndata Bygg'!H159,'Inndata Bygg'!G159,'Inndata Bygg'!L159,F156,AB156,AC156,AD156)</f>
        <v>0</v>
      </c>
      <c r="W156" s="576" cm="1">
        <f t="array" ref="W156">CalculateCementCarbonUptake('ZERO-B Beregning'!$D$17,'Inndata Bygg'!H159,'Inndata Bygg'!G159,'Inndata Bygg'!N159)</f>
        <v>0</v>
      </c>
      <c r="X156" s="331" cm="1">
        <f t="array" ref="X156">IF(SUM(F156:J156,L156)=0, 0, SUM(F156:J156,L156)*(1+'Inndata Bygg'!K159)*IF('Inndata Bygg'!H159&gt;50, 0, _xlfn.XLOOKUP('Inndata Bygg'!H159, År_etter_ferdigstillelse, IF(VALUE(LEFT('Inndata Bygg'!B159, 2))= 49, f_tid_x_f_tek_d_0_037_kumulativ, f_tid_x_f_tek_d_0_01_kumulativ))))</f>
        <v>0</v>
      </c>
      <c r="Y156" s="330">
        <f>IF(X156=0, 0, SUM(K156,M156)*(1+'Inndata Bygg'!K159)*IF('Inndata Bygg'!H159&gt;50, 0, _xlfn.XLOOKUP('Inndata Bygg'!H159, År_etter_ferdigstillelse, f_tid_x_f_tek_d_0_01_kumulativ)))</f>
        <v>0</v>
      </c>
      <c r="Z156" s="336">
        <f>IF(X156=0, 0, SUM(N156:P156)*(1+'Inndata Bygg'!K159)*IF('Inndata Bygg'!H159&gt;50, 0, _xlfn.XLOOKUP('Inndata Bygg'!H159, År_etter_ferdigstillelse, f_tid_x_f_tek_d_0_01_kumulativ)))</f>
        <v>0</v>
      </c>
      <c r="AA156" s="336">
        <f>IF(X156=0, 0, ('Inndata Bygg'!G159+'Inndata Bygg'!O159+'Inndata Bygg'!S159)*(1+'Inndata Bygg'!K159)*Transport_utslipp_til_avfallshånderting_per_kg*IF('Inndata Bygg'!H159&gt;50, 0, _xlfn.XLOOKUP('Inndata Bygg'!H159, År_etter_ferdigstillelse, f_tid_x_f_tek_d_0_01_kumulativ)))</f>
        <v>0</v>
      </c>
      <c r="AB156" s="580" cm="1">
        <f t="array" ref="AB156">CalculateEmissionsFromIncinerationOfWaste('ZERO-B Beregning'!$D$17,'Inndata Bygg'!H159,'Inndata Bygg'!G159,'Inndata Bygg'!X159,'Inndata Bygg'!L159,'Inndata Bygg'!M159,'Inndata Bygg'!B159)</f>
        <v>0</v>
      </c>
      <c r="AC156" s="335">
        <f>IF(('Inndata Bygg'!G159+'Inndata Bygg'!O159+'Inndata Bygg'!S159) = 0, 0,('Inndata Bygg'!G159+'Inndata Bygg'!O159+'Inndata Bygg'!S159)*(('Inndata Bygg'!X159+'Inndata Bygg'!Y159+'Inndata Bygg'!AA159)*Transport_utslipp_til_avfallshånderting_per_kg+('Inndata Bygg'!Z159*'ZERO-B Beregning'!D258/1000)*IF('ZERO-B Beregning'!F259=0,'ZERO-B Beregning'!D259,'ZERO-B Beregning'!F259))*_xlfn.XLOOKUP(51, År_etter_ferdigstillelse, f_tid_x_f_tek_d_0_01))</f>
        <v>0</v>
      </c>
      <c r="AD156" s="577">
        <f>IF(('Inndata Bygg'!G159+'Inndata Bygg'!O159+'Inndata Bygg'!S159) = 0, 0,1.833*('Inndata Bygg'!G159*('Inndata Bygg'!L159*0.5+'Inndata Bygg'!M159*0.8)+'Inndata Bygg'!O159*'Inndata Bygg'!Q159+'Inndata Bygg'!S159*'Inndata Bygg'!U159)*AG156*_xlfn.XLOOKUP(51, År_etter_ferdigstillelse,  f_tid_x_f_tek_d_0_01))</f>
        <v>0</v>
      </c>
      <c r="AE156" s="575" cm="1">
        <f t="array" ref="AE156">CalculateEmissionsReductionFromReuse('ZERO-B Beregning'!$D$17,'Inndata Bygg'!H159,'Inndata Bygg'!G159,'Inndata Bygg'!Z159,'Inndata Bygg'!X159,'Inndata Bygg'!Y159,F156,'Inndata Bygg'!B159)</f>
        <v>0</v>
      </c>
      <c r="AF156" s="333" cm="1">
        <f t="array" ref="AF156">CalculateEmissionReductionFromRecycling('ZERO-B Beregning'!$D$17,'Inndata Bygg'!H159,'Inndata Bygg'!G159,'Inndata Bygg'!AA159,'Inndata Bygg'!X159,'Inndata Bygg'!Y159,F156,'Inndata Bygg'!B159)</f>
        <v>0</v>
      </c>
      <c r="AG156" s="572">
        <f>IF(('Inndata Bygg'!G159+'Inndata Bygg'!O159+'Inndata Bygg'!S159) = 0, 0,'Inndata Bygg'!X159*Faktorer!$Z$58)</f>
        <v>0</v>
      </c>
      <c r="AH156" s="573">
        <f>IF(('Inndata Bygg'!G159+'Inndata Bygg'!O159+'Inndata Bygg'!S159) = 0, 0,'Inndata Bygg'!Z159+('Inndata Bygg'!X159+'Inndata Bygg'!Y159)*(1-Faktorer!$Z$58)*0.5)</f>
        <v>0</v>
      </c>
      <c r="AI156" s="574">
        <f>IF(('Inndata Bygg'!G159+'Inndata Bygg'!O159+'Inndata Bygg'!S159) = 0, 0,'Inndata Bygg'!AA159+('Inndata Bygg'!X159+'Inndata Bygg'!Y159)*(1-Faktorer!$Z$58)*0.5)</f>
        <v>0</v>
      </c>
      <c r="AJ156" s="634"/>
      <c r="AK156" s="90">
        <f t="shared" si="4"/>
        <v>0</v>
      </c>
      <c r="AL156" s="91">
        <f>'Resultater detaljert Bygg'!N156</f>
        <v>0</v>
      </c>
      <c r="AM156" s="91" t="str">
        <f>IF(F156=0,"",('Inndata Bygg'!E159+'Inndata Bygg'!F159)*ROUNDDOWN('Inndata Bygg'!I159,0)*(1+'Inndata Bygg'!K159))</f>
        <v/>
      </c>
    </row>
    <row r="157" spans="2:39">
      <c r="B157" s="339">
        <f>'Inndata Bygg'!B160</f>
        <v>0</v>
      </c>
      <c r="C157" s="340">
        <f>'Inndata Bygg'!C160</f>
        <v>0</v>
      </c>
      <c r="D157" s="341">
        <f>'Inndata Bygg'!D160</f>
        <v>0</v>
      </c>
      <c r="E157" s="421" cm="1">
        <f t="array" ref="E157">SUM(IFERROR(F157:AD157,0))</f>
        <v>0</v>
      </c>
      <c r="F157" s="330">
        <f>'Inndata Bygg'!E160</f>
        <v>0</v>
      </c>
      <c r="G157" s="330">
        <f>IF('Inndata Bygg'!AB160="Ja", -0.8*'Resultater detaljert Bygg'!F157, 0)</f>
        <v>0</v>
      </c>
      <c r="H157" s="330">
        <f>IF('Inndata Bygg'!AC160="Ja", -0.4*'Resultater detaljert Bygg'!$F157, 0)</f>
        <v>0</v>
      </c>
      <c r="I157" s="330">
        <f>IF('Inndata Bygg'!AD160="Ja", -1*'Resultater detaljert Bygg'!$F157, 0)</f>
        <v>0</v>
      </c>
      <c r="J157" s="330">
        <f>'Inndata Bygg'!O160*'Inndata Bygg'!P160</f>
        <v>0</v>
      </c>
      <c r="K157" s="330">
        <f>MAX(-0.75*(SUM('Resultater detaljert Bygg'!F157:J157)),-'Inndata Bygg'!O160*'Inndata Bygg'!Q160)</f>
        <v>0</v>
      </c>
      <c r="L157" s="330">
        <f>'Inndata Bygg'!S160*'Inndata Bygg'!T160</f>
        <v>0</v>
      </c>
      <c r="M157" s="330">
        <f>MAX(-0.75*(SUM('Resultater detaljert Bygg'!F157:I157,L157)),-'Inndata Bygg'!S160*'Inndata Bygg'!U160)</f>
        <v>0</v>
      </c>
      <c r="N157" s="331">
        <f>'Inndata Bygg'!F160</f>
        <v>0</v>
      </c>
      <c r="O157" s="330">
        <f>'Inndata Bygg'!O160*'Inndata Bygg'!R160</f>
        <v>0</v>
      </c>
      <c r="P157" s="332">
        <f>'Inndata Bygg'!S160*'Inndata Bygg'!V160</f>
        <v>0</v>
      </c>
      <c r="Q157" s="493">
        <f>SUM(F157:J157,L157)*'Inndata Bygg'!K160</f>
        <v>0</v>
      </c>
      <c r="R157" s="333">
        <f>(K157+M157)*'Inndata Bygg'!K160</f>
        <v>0</v>
      </c>
      <c r="S157" s="493">
        <f>N157*'Inndata Bygg'!K160</f>
        <v>0</v>
      </c>
      <c r="T157" s="494">
        <f>'Inndata Bygg'!G160*'Inndata Bygg'!K160*Transport_utslipp_til_avfallshånderting_per_kg</f>
        <v>0</v>
      </c>
      <c r="U157" s="330">
        <f>IF('Inndata Bygg'!E160 = 0, 0, 1.833*'Inndata Bygg'!X160*'Inndata Bygg'!K160*('Inndata Bygg'!G160*('Inndata Bygg'!L160*0.5+'Inndata Bygg'!M160*0.8) + (12/44)*('Inndata Bygg'!O160*'Inndata Bygg'!Q160+'Inndata Bygg'!S160*'Inndata Bygg'!U160)))</f>
        <v>0</v>
      </c>
      <c r="V157" s="335" cm="1">
        <f t="array" ref="V157">CalculateBiogenicCarbonUptake('ZERO-B Beregning'!$D$17,'Inndata Bygg'!H160,'Inndata Bygg'!G160,'Inndata Bygg'!L160,F157,AB157,AC157,AD157)</f>
        <v>0</v>
      </c>
      <c r="W157" s="576" cm="1">
        <f t="array" ref="W157">CalculateCementCarbonUptake('ZERO-B Beregning'!$D$17,'Inndata Bygg'!H160,'Inndata Bygg'!G160,'Inndata Bygg'!N160)</f>
        <v>0</v>
      </c>
      <c r="X157" s="331" cm="1">
        <f t="array" ref="X157">IF(SUM(F157:J157,L157)=0, 0, SUM(F157:J157,L157)*(1+'Inndata Bygg'!K160)*IF('Inndata Bygg'!H160&gt;50, 0, _xlfn.XLOOKUP('Inndata Bygg'!H160, År_etter_ferdigstillelse, IF(VALUE(LEFT('Inndata Bygg'!B160, 2))= 49, f_tid_x_f_tek_d_0_037_kumulativ, f_tid_x_f_tek_d_0_01_kumulativ))))</f>
        <v>0</v>
      </c>
      <c r="Y157" s="330">
        <f>IF(X157=0, 0, SUM(K157,M157)*(1+'Inndata Bygg'!K160)*IF('Inndata Bygg'!H160&gt;50, 0, _xlfn.XLOOKUP('Inndata Bygg'!H160, År_etter_ferdigstillelse, f_tid_x_f_tek_d_0_01_kumulativ)))</f>
        <v>0</v>
      </c>
      <c r="Z157" s="336">
        <f>IF(X157=0, 0, SUM(N157:P157)*(1+'Inndata Bygg'!K160)*IF('Inndata Bygg'!H160&gt;50, 0, _xlfn.XLOOKUP('Inndata Bygg'!H160, År_etter_ferdigstillelse, f_tid_x_f_tek_d_0_01_kumulativ)))</f>
        <v>0</v>
      </c>
      <c r="AA157" s="336">
        <f>IF(X157=0, 0, ('Inndata Bygg'!G160+'Inndata Bygg'!O160+'Inndata Bygg'!S160)*(1+'Inndata Bygg'!K160)*Transport_utslipp_til_avfallshånderting_per_kg*IF('Inndata Bygg'!H160&gt;50, 0, _xlfn.XLOOKUP('Inndata Bygg'!H160, År_etter_ferdigstillelse, f_tid_x_f_tek_d_0_01_kumulativ)))</f>
        <v>0</v>
      </c>
      <c r="AB157" s="580" cm="1">
        <f t="array" ref="AB157">CalculateEmissionsFromIncinerationOfWaste('ZERO-B Beregning'!$D$17,'Inndata Bygg'!H160,'Inndata Bygg'!G160,'Inndata Bygg'!X160,'Inndata Bygg'!L160,'Inndata Bygg'!M160,'Inndata Bygg'!B160)</f>
        <v>0</v>
      </c>
      <c r="AC157" s="335">
        <f>IF(('Inndata Bygg'!G160+'Inndata Bygg'!O160+'Inndata Bygg'!S160) = 0, 0,('Inndata Bygg'!G160+'Inndata Bygg'!O160+'Inndata Bygg'!S160)*(('Inndata Bygg'!X160+'Inndata Bygg'!Y160+'Inndata Bygg'!AA160)*Transport_utslipp_til_avfallshånderting_per_kg+('Inndata Bygg'!Z160*'ZERO-B Beregning'!D259/1000)*IF('ZERO-B Beregning'!F260=0,'ZERO-B Beregning'!D260,'ZERO-B Beregning'!F260))*_xlfn.XLOOKUP(51, År_etter_ferdigstillelse, f_tid_x_f_tek_d_0_01))</f>
        <v>0</v>
      </c>
      <c r="AD157" s="577">
        <f>IF(('Inndata Bygg'!G160+'Inndata Bygg'!O160+'Inndata Bygg'!S160) = 0, 0,1.833*('Inndata Bygg'!G160*('Inndata Bygg'!L160*0.5+'Inndata Bygg'!M160*0.8)+'Inndata Bygg'!O160*'Inndata Bygg'!Q160+'Inndata Bygg'!S160*'Inndata Bygg'!U160)*AG157*_xlfn.XLOOKUP(51, År_etter_ferdigstillelse,  f_tid_x_f_tek_d_0_01))</f>
        <v>0</v>
      </c>
      <c r="AE157" s="575" cm="1">
        <f t="array" ref="AE157">CalculateEmissionsReductionFromReuse('ZERO-B Beregning'!$D$17,'Inndata Bygg'!H160,'Inndata Bygg'!G160,'Inndata Bygg'!Z160,'Inndata Bygg'!X160,'Inndata Bygg'!Y160,F157,'Inndata Bygg'!B160)</f>
        <v>0</v>
      </c>
      <c r="AF157" s="333" cm="1">
        <f t="array" ref="AF157">CalculateEmissionReductionFromRecycling('ZERO-B Beregning'!$D$17,'Inndata Bygg'!H160,'Inndata Bygg'!G160,'Inndata Bygg'!AA160,'Inndata Bygg'!X160,'Inndata Bygg'!Y160,F157,'Inndata Bygg'!B160)</f>
        <v>0</v>
      </c>
      <c r="AG157" s="572">
        <f>IF(('Inndata Bygg'!G160+'Inndata Bygg'!O160+'Inndata Bygg'!S160) = 0, 0,'Inndata Bygg'!X160*Faktorer!$Z$58)</f>
        <v>0</v>
      </c>
      <c r="AH157" s="573">
        <f>IF(('Inndata Bygg'!G160+'Inndata Bygg'!O160+'Inndata Bygg'!S160) = 0, 0,'Inndata Bygg'!Z160+('Inndata Bygg'!X160+'Inndata Bygg'!Y160)*(1-Faktorer!$Z$58)*0.5)</f>
        <v>0</v>
      </c>
      <c r="AI157" s="574">
        <f>IF(('Inndata Bygg'!G160+'Inndata Bygg'!O160+'Inndata Bygg'!S160) = 0, 0,'Inndata Bygg'!AA160+('Inndata Bygg'!X160+'Inndata Bygg'!Y160)*(1-Faktorer!$Z$58)*0.5)</f>
        <v>0</v>
      </c>
      <c r="AJ157" s="634"/>
      <c r="AK157" s="90">
        <f t="shared" si="4"/>
        <v>0</v>
      </c>
      <c r="AL157" s="91">
        <f>'Resultater detaljert Bygg'!N157</f>
        <v>0</v>
      </c>
      <c r="AM157" s="91" t="str">
        <f>IF(F157=0,"",('Inndata Bygg'!E160+'Inndata Bygg'!F160)*ROUNDDOWN('Inndata Bygg'!I160,0)*(1+'Inndata Bygg'!K160))</f>
        <v/>
      </c>
    </row>
    <row r="158" spans="2:39">
      <c r="B158" s="339">
        <f>'Inndata Bygg'!B161</f>
        <v>0</v>
      </c>
      <c r="C158" s="340">
        <f>'Inndata Bygg'!C161</f>
        <v>0</v>
      </c>
      <c r="D158" s="341">
        <f>'Inndata Bygg'!D161</f>
        <v>0</v>
      </c>
      <c r="E158" s="421" cm="1">
        <f t="array" ref="E158">SUM(IFERROR(F158:AD158,0))</f>
        <v>0</v>
      </c>
      <c r="F158" s="330">
        <f>'Inndata Bygg'!E161</f>
        <v>0</v>
      </c>
      <c r="G158" s="330">
        <f>IF('Inndata Bygg'!AB161="Ja", -0.8*'Resultater detaljert Bygg'!F158, 0)</f>
        <v>0</v>
      </c>
      <c r="H158" s="330">
        <f>IF('Inndata Bygg'!AC161="Ja", -0.4*'Resultater detaljert Bygg'!$F158, 0)</f>
        <v>0</v>
      </c>
      <c r="I158" s="330">
        <f>IF('Inndata Bygg'!AD161="Ja", -1*'Resultater detaljert Bygg'!$F158, 0)</f>
        <v>0</v>
      </c>
      <c r="J158" s="330">
        <f>'Inndata Bygg'!O161*'Inndata Bygg'!P161</f>
        <v>0</v>
      </c>
      <c r="K158" s="330">
        <f>MAX(-0.75*(SUM('Resultater detaljert Bygg'!F158:J158)),-'Inndata Bygg'!O161*'Inndata Bygg'!Q161)</f>
        <v>0</v>
      </c>
      <c r="L158" s="330">
        <f>'Inndata Bygg'!S161*'Inndata Bygg'!T161</f>
        <v>0</v>
      </c>
      <c r="M158" s="330">
        <f>MAX(-0.75*(SUM('Resultater detaljert Bygg'!F158:I158,L158)),-'Inndata Bygg'!S161*'Inndata Bygg'!U161)</f>
        <v>0</v>
      </c>
      <c r="N158" s="331">
        <f>'Inndata Bygg'!F161</f>
        <v>0</v>
      </c>
      <c r="O158" s="330">
        <f>'Inndata Bygg'!O161*'Inndata Bygg'!R161</f>
        <v>0</v>
      </c>
      <c r="P158" s="332">
        <f>'Inndata Bygg'!S161*'Inndata Bygg'!V161</f>
        <v>0</v>
      </c>
      <c r="Q158" s="493">
        <f>SUM(F158:J158,L158)*'Inndata Bygg'!K161</f>
        <v>0</v>
      </c>
      <c r="R158" s="333">
        <f>(K158+M158)*'Inndata Bygg'!K161</f>
        <v>0</v>
      </c>
      <c r="S158" s="493">
        <f>N158*'Inndata Bygg'!K161</f>
        <v>0</v>
      </c>
      <c r="T158" s="494">
        <f>'Inndata Bygg'!G161*'Inndata Bygg'!K161*Transport_utslipp_til_avfallshånderting_per_kg</f>
        <v>0</v>
      </c>
      <c r="U158" s="330">
        <f>IF('Inndata Bygg'!E161 = 0, 0, 1.833*'Inndata Bygg'!X161*'Inndata Bygg'!K161*('Inndata Bygg'!G161*('Inndata Bygg'!L161*0.5+'Inndata Bygg'!M161*0.8) + (12/44)*('Inndata Bygg'!O161*'Inndata Bygg'!Q161+'Inndata Bygg'!S161*'Inndata Bygg'!U161)))</f>
        <v>0</v>
      </c>
      <c r="V158" s="335" cm="1">
        <f t="array" ref="V158">CalculateBiogenicCarbonUptake('ZERO-B Beregning'!$D$17,'Inndata Bygg'!H161,'Inndata Bygg'!G161,'Inndata Bygg'!L161,F158,AB158,AC158,AD158)</f>
        <v>0</v>
      </c>
      <c r="W158" s="576" cm="1">
        <f t="array" ref="W158">CalculateCementCarbonUptake('ZERO-B Beregning'!$D$17,'Inndata Bygg'!H161,'Inndata Bygg'!G161,'Inndata Bygg'!N161)</f>
        <v>0</v>
      </c>
      <c r="X158" s="331" cm="1">
        <f t="array" ref="X158">IF(SUM(F158:J158,L158)=0, 0, SUM(F158:J158,L158)*(1+'Inndata Bygg'!K161)*IF('Inndata Bygg'!H161&gt;50, 0, _xlfn.XLOOKUP('Inndata Bygg'!H161, År_etter_ferdigstillelse, IF(VALUE(LEFT('Inndata Bygg'!B161, 2))= 49, f_tid_x_f_tek_d_0_037_kumulativ, f_tid_x_f_tek_d_0_01_kumulativ))))</f>
        <v>0</v>
      </c>
      <c r="Y158" s="330">
        <f>IF(X158=0, 0, SUM(K158,M158)*(1+'Inndata Bygg'!K161)*IF('Inndata Bygg'!H161&gt;50, 0, _xlfn.XLOOKUP('Inndata Bygg'!H161, År_etter_ferdigstillelse, f_tid_x_f_tek_d_0_01_kumulativ)))</f>
        <v>0</v>
      </c>
      <c r="Z158" s="336">
        <f>IF(X158=0, 0, SUM(N158:P158)*(1+'Inndata Bygg'!K161)*IF('Inndata Bygg'!H161&gt;50, 0, _xlfn.XLOOKUP('Inndata Bygg'!H161, År_etter_ferdigstillelse, f_tid_x_f_tek_d_0_01_kumulativ)))</f>
        <v>0</v>
      </c>
      <c r="AA158" s="336">
        <f>IF(X158=0, 0, ('Inndata Bygg'!G161+'Inndata Bygg'!O161+'Inndata Bygg'!S161)*(1+'Inndata Bygg'!K161)*Transport_utslipp_til_avfallshånderting_per_kg*IF('Inndata Bygg'!H161&gt;50, 0, _xlfn.XLOOKUP('Inndata Bygg'!H161, År_etter_ferdigstillelse, f_tid_x_f_tek_d_0_01_kumulativ)))</f>
        <v>0</v>
      </c>
      <c r="AB158" s="580" cm="1">
        <f t="array" ref="AB158">CalculateEmissionsFromIncinerationOfWaste('ZERO-B Beregning'!$D$17,'Inndata Bygg'!H161,'Inndata Bygg'!G161,'Inndata Bygg'!X161,'Inndata Bygg'!L161,'Inndata Bygg'!M161,'Inndata Bygg'!B161)</f>
        <v>0</v>
      </c>
      <c r="AC158" s="335">
        <f>IF(('Inndata Bygg'!G161+'Inndata Bygg'!O161+'Inndata Bygg'!S161) = 0, 0,('Inndata Bygg'!G161+'Inndata Bygg'!O161+'Inndata Bygg'!S161)*(('Inndata Bygg'!X161+'Inndata Bygg'!Y161+'Inndata Bygg'!AA161)*Transport_utslipp_til_avfallshånderting_per_kg+('Inndata Bygg'!Z161*'ZERO-B Beregning'!D260/1000)*IF('ZERO-B Beregning'!F261=0,'ZERO-B Beregning'!D261,'ZERO-B Beregning'!F261))*_xlfn.XLOOKUP(51, År_etter_ferdigstillelse, f_tid_x_f_tek_d_0_01))</f>
        <v>0</v>
      </c>
      <c r="AD158" s="577">
        <f>IF(('Inndata Bygg'!G161+'Inndata Bygg'!O161+'Inndata Bygg'!S161) = 0, 0,1.833*('Inndata Bygg'!G161*('Inndata Bygg'!L161*0.5+'Inndata Bygg'!M161*0.8)+'Inndata Bygg'!O161*'Inndata Bygg'!Q161+'Inndata Bygg'!S161*'Inndata Bygg'!U161)*AG158*_xlfn.XLOOKUP(51, År_etter_ferdigstillelse,  f_tid_x_f_tek_d_0_01))</f>
        <v>0</v>
      </c>
      <c r="AE158" s="575" cm="1">
        <f t="array" ref="AE158">CalculateEmissionsReductionFromReuse('ZERO-B Beregning'!$D$17,'Inndata Bygg'!H161,'Inndata Bygg'!G161,'Inndata Bygg'!Z161,'Inndata Bygg'!X161,'Inndata Bygg'!Y161,F158,'Inndata Bygg'!B161)</f>
        <v>0</v>
      </c>
      <c r="AF158" s="333" cm="1">
        <f t="array" ref="AF158">CalculateEmissionReductionFromRecycling('ZERO-B Beregning'!$D$17,'Inndata Bygg'!H161,'Inndata Bygg'!G161,'Inndata Bygg'!AA161,'Inndata Bygg'!X161,'Inndata Bygg'!Y161,F158,'Inndata Bygg'!B161)</f>
        <v>0</v>
      </c>
      <c r="AG158" s="572">
        <f>IF(('Inndata Bygg'!G161+'Inndata Bygg'!O161+'Inndata Bygg'!S161) = 0, 0,'Inndata Bygg'!X161*Faktorer!$Z$58)</f>
        <v>0</v>
      </c>
      <c r="AH158" s="573">
        <f>IF(('Inndata Bygg'!G161+'Inndata Bygg'!O161+'Inndata Bygg'!S161) = 0, 0,'Inndata Bygg'!Z161+('Inndata Bygg'!X161+'Inndata Bygg'!Y161)*(1-Faktorer!$Z$58)*0.5)</f>
        <v>0</v>
      </c>
      <c r="AI158" s="574">
        <f>IF(('Inndata Bygg'!G161+'Inndata Bygg'!O161+'Inndata Bygg'!S161) = 0, 0,'Inndata Bygg'!AA161+('Inndata Bygg'!X161+'Inndata Bygg'!Y161)*(1-Faktorer!$Z$58)*0.5)</f>
        <v>0</v>
      </c>
      <c r="AJ158" s="634"/>
      <c r="AK158" s="90">
        <f t="shared" si="4"/>
        <v>0</v>
      </c>
      <c r="AL158" s="91">
        <f>'Resultater detaljert Bygg'!N158</f>
        <v>0</v>
      </c>
      <c r="AM158" s="91" t="str">
        <f>IF(F158=0,"",('Inndata Bygg'!E161+'Inndata Bygg'!F161)*ROUNDDOWN('Inndata Bygg'!I161,0)*(1+'Inndata Bygg'!K161))</f>
        <v/>
      </c>
    </row>
    <row r="159" spans="2:39">
      <c r="G159" s="638"/>
      <c r="H159" s="638"/>
      <c r="I159" s="638"/>
      <c r="J159" s="638"/>
      <c r="K159" s="638"/>
      <c r="L159" s="638"/>
      <c r="M159" s="638"/>
      <c r="N159" s="638"/>
      <c r="O159" s="638"/>
      <c r="P159" s="638"/>
      <c r="Q159" s="638"/>
      <c r="R159" s="638"/>
      <c r="S159" s="638"/>
      <c r="T159" s="638"/>
      <c r="U159" s="638"/>
      <c r="V159" s="638"/>
      <c r="W159" s="638"/>
      <c r="X159" s="639"/>
      <c r="Y159" s="638"/>
      <c r="Z159" s="638"/>
      <c r="AA159" s="638"/>
      <c r="AB159" s="638"/>
      <c r="AC159" s="638"/>
      <c r="AD159" s="638"/>
      <c r="AE159" s="638"/>
      <c r="AF159" s="638"/>
      <c r="AG159" s="638"/>
      <c r="AH159" s="638"/>
      <c r="AI159" s="638"/>
      <c r="AJ159" s="638"/>
      <c r="AK159" s="638"/>
      <c r="AL159" s="638"/>
      <c r="AM159" s="638"/>
    </row>
  </sheetData>
  <sheetProtection algorithmName="SHA-512" hashValue="ZfzN6TrJkN5MeZzddhGXT/OmobAF1OxzQQ/hQXikPCae0ggTKmcsTZBJyz1dLlEbOxS0o2qBbHPDkq5s2CfFtQ==" saltValue="r9Gho5nK6c/JME6MoPX7zg==" spinCount="100000" sheet="1" objects="1" scenarios="1"/>
  <mergeCells count="39">
    <mergeCell ref="B6:C6"/>
    <mergeCell ref="Y8:Y9"/>
    <mergeCell ref="AL8:AL11"/>
    <mergeCell ref="AK8:AK11"/>
    <mergeCell ref="AK5:AM5"/>
    <mergeCell ref="AC5:AF5"/>
    <mergeCell ref="V5:AB5"/>
    <mergeCell ref="V6:W6"/>
    <mergeCell ref="X6:AB6"/>
    <mergeCell ref="AE6:AF6"/>
    <mergeCell ref="B7:D10"/>
    <mergeCell ref="E8:E10"/>
    <mergeCell ref="F8:F9"/>
    <mergeCell ref="AM8:AM11"/>
    <mergeCell ref="S8:S9"/>
    <mergeCell ref="U8:U9"/>
    <mergeCell ref="Z10:AA10"/>
    <mergeCell ref="AA8:AA9"/>
    <mergeCell ref="W8:W9"/>
    <mergeCell ref="V8:V9"/>
    <mergeCell ref="AB8:AB9"/>
    <mergeCell ref="Z8:Z9"/>
    <mergeCell ref="X8:X9"/>
    <mergeCell ref="AG10:AI10"/>
    <mergeCell ref="AG6:AI6"/>
    <mergeCell ref="AG5:AI5"/>
    <mergeCell ref="F5:U5"/>
    <mergeCell ref="F6:M6"/>
    <mergeCell ref="N6:P6"/>
    <mergeCell ref="N8:N9"/>
    <mergeCell ref="Q8:Q9"/>
    <mergeCell ref="Q6:U6"/>
    <mergeCell ref="T8:T9"/>
    <mergeCell ref="O8:O9"/>
    <mergeCell ref="P8:P9"/>
    <mergeCell ref="R8:R9"/>
    <mergeCell ref="AF8:AF9"/>
    <mergeCell ref="AD8:AD9"/>
    <mergeCell ref="AC8:AC9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theme="3" tint="0.59999389629810485"/>
  </sheetPr>
  <dimension ref="B1:AD156"/>
  <sheetViews>
    <sheetView zoomScaleNormal="100" workbookViewId="0">
      <pane xSplit="6" ySplit="9" topLeftCell="G10" activePane="bottomRight" state="frozen"/>
      <selection pane="bottomRight" activeCell="G10" sqref="G10"/>
      <selection pane="bottomLeft" activeCell="D114" sqref="D114"/>
      <selection pane="topRight" activeCell="D114" sqref="D114"/>
    </sheetView>
  </sheetViews>
  <sheetFormatPr defaultColWidth="8.875" defaultRowHeight="15"/>
  <cols>
    <col min="1" max="1" width="8.875" style="1"/>
    <col min="2" max="2" width="17.5" style="1" customWidth="1"/>
    <col min="3" max="3" width="23.125" style="89" customWidth="1"/>
    <col min="4" max="4" width="50.625" style="89" customWidth="1"/>
    <col min="5" max="5" width="16.875" style="89" customWidth="1"/>
    <col min="6" max="6" width="18.125" style="76" customWidth="1"/>
    <col min="7" max="9" width="29.125" style="1" customWidth="1"/>
    <col min="10" max="10" width="29.125" style="3" customWidth="1"/>
    <col min="11" max="11" width="29.125" style="4" customWidth="1"/>
    <col min="12" max="14" width="29.125" style="1" customWidth="1"/>
    <col min="15" max="16384" width="8.875" style="1"/>
  </cols>
  <sheetData>
    <row r="1" spans="2:30">
      <c r="J1" s="1"/>
      <c r="K1" s="1"/>
    </row>
    <row r="2" spans="2:30" ht="36.950000000000003">
      <c r="B2" s="103" t="s">
        <v>370</v>
      </c>
      <c r="J2" s="1"/>
      <c r="K2" s="1"/>
    </row>
    <row r="3" spans="2:30">
      <c r="B3" s="303" t="s">
        <v>371</v>
      </c>
      <c r="J3" s="1"/>
      <c r="K3" s="1"/>
    </row>
    <row r="4" spans="2:30">
      <c r="B4" s="8" t="s">
        <v>372</v>
      </c>
      <c r="J4" s="1"/>
      <c r="K4" s="1"/>
    </row>
    <row r="5" spans="2:30">
      <c r="J5" s="1"/>
      <c r="K5" s="1"/>
    </row>
    <row r="6" spans="2:30" s="2" customFormat="1" ht="41.1" customHeight="1">
      <c r="B6" s="820" t="s">
        <v>267</v>
      </c>
      <c r="C6" s="820"/>
      <c r="D6" s="820"/>
      <c r="E6" s="759" t="s">
        <v>373</v>
      </c>
      <c r="F6" s="761"/>
      <c r="G6" s="820" t="s">
        <v>229</v>
      </c>
      <c r="H6" s="820"/>
      <c r="I6" s="820"/>
      <c r="J6" s="759" t="s">
        <v>374</v>
      </c>
      <c r="K6" s="761"/>
      <c r="L6" s="759" t="s">
        <v>206</v>
      </c>
      <c r="M6" s="761"/>
      <c r="N6" s="347"/>
    </row>
    <row r="7" spans="2:30" ht="24.95" customHeight="1">
      <c r="B7" s="818" t="s">
        <v>324</v>
      </c>
      <c r="C7" s="819"/>
      <c r="D7" s="452">
        <f>SUM(G8:N8)</f>
        <v>34730.197925348541</v>
      </c>
      <c r="E7" s="393"/>
      <c r="F7" s="393"/>
      <c r="G7" s="348" t="s">
        <v>325</v>
      </c>
      <c r="H7" s="348" t="s">
        <v>326</v>
      </c>
      <c r="I7" s="348" t="s">
        <v>327</v>
      </c>
      <c r="J7" s="348" t="s">
        <v>329</v>
      </c>
      <c r="K7" s="348" t="s">
        <v>328</v>
      </c>
      <c r="L7" s="349" t="s">
        <v>330</v>
      </c>
      <c r="M7" s="349" t="s">
        <v>331</v>
      </c>
      <c r="N7" s="348" t="s">
        <v>332</v>
      </c>
    </row>
    <row r="8" spans="2:30" s="6" customFormat="1">
      <c r="B8" s="453"/>
      <c r="C8" s="453"/>
      <c r="D8" s="453"/>
      <c r="E8" s="453"/>
      <c r="F8" s="453" t="s">
        <v>334</v>
      </c>
      <c r="G8" s="453" cm="1">
        <f t="array" ref="G8">SUM(IFERROR(G10:G156,0))</f>
        <v>36250.86</v>
      </c>
      <c r="H8" s="454" cm="1">
        <f t="array" ref="H8">SUM(IFERROR(H10:H156,0))</f>
        <v>3187.2</v>
      </c>
      <c r="I8" s="455" cm="1">
        <f t="array" ref="I8">SUM(IFERROR(I10:I156,0))</f>
        <v>2131.2630000000004</v>
      </c>
      <c r="J8" s="453" cm="1">
        <f t="array" ref="J8">SUM(IFERROR(J10:J156,0))</f>
        <v>0</v>
      </c>
      <c r="K8" s="455" cm="1">
        <f t="array" ref="K8">SUM(IFERROR(K10:K156,0))</f>
        <v>-3203.6915710478311</v>
      </c>
      <c r="L8" s="454" cm="1">
        <f t="array" ref="L8">SUM(IFERROR(L10:L156,0))</f>
        <v>1102.5146209430607</v>
      </c>
      <c r="M8" s="454" cm="1">
        <f t="array" ref="M8">SUM(IFERROR(M10:M156,0))</f>
        <v>0</v>
      </c>
      <c r="N8" s="455" cm="1">
        <f t="array" ref="N8">SUM(IFERROR(N10:N156,0))</f>
        <v>-4737.9481245466914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2:30" s="47" customFormat="1" ht="30" customHeight="1">
      <c r="B9" s="350" t="s">
        <v>375</v>
      </c>
      <c r="C9" s="350" t="s">
        <v>288</v>
      </c>
      <c r="D9" s="350" t="s">
        <v>289</v>
      </c>
      <c r="E9" s="350"/>
      <c r="F9" s="350" t="s">
        <v>344</v>
      </c>
      <c r="G9" s="350" t="s">
        <v>337</v>
      </c>
      <c r="H9" s="350" t="s">
        <v>338</v>
      </c>
      <c r="I9" s="350" t="s">
        <v>296</v>
      </c>
      <c r="J9" s="350" t="s">
        <v>376</v>
      </c>
      <c r="K9" s="350" t="s">
        <v>377</v>
      </c>
      <c r="L9" s="350" t="s">
        <v>338</v>
      </c>
      <c r="M9" s="350" t="s">
        <v>139</v>
      </c>
      <c r="N9" s="350" t="s">
        <v>378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2:30">
      <c r="B10" s="640">
        <f>'Inndata Bygg'!B15</f>
        <v>231</v>
      </c>
      <c r="C10" s="641" t="str">
        <f>'Inndata Bygg'!C15</f>
        <v>Concrete</v>
      </c>
      <c r="D10" s="641" t="str">
        <f>'Inndata Bygg'!D15</f>
        <v>"Concrete"</v>
      </c>
      <c r="E10" s="641"/>
      <c r="F10" s="581">
        <f t="array" ref="F10">SUM(IFERROR(G10:N10,0))</f>
        <v>34730.197925348541</v>
      </c>
      <c r="G10" s="642">
        <f>SUM('Resultater detaljert Bygg'!F12:M12)</f>
        <v>36250.86</v>
      </c>
      <c r="H10" s="643">
        <f>SUM('Resultater detaljert Bygg'!N12:P12)</f>
        <v>3187.2</v>
      </c>
      <c r="I10" s="644">
        <f>SUM('Resultater detaljert Bygg'!Q12:U12)</f>
        <v>2131.2630000000004</v>
      </c>
      <c r="J10" s="642">
        <f>SUM('Resultater detaljert Bygg'!X12:AB12)</f>
        <v>0</v>
      </c>
      <c r="K10" s="644">
        <f>SUM('Resultater detaljert Bygg'!V12:W12)</f>
        <v>-3203.6915710478311</v>
      </c>
      <c r="L10" s="643">
        <f>'Resultater detaljert Bygg'!AC12</f>
        <v>1102.5146209430607</v>
      </c>
      <c r="M10" s="643">
        <f>'Resultater detaljert Bygg'!AD12</f>
        <v>0</v>
      </c>
      <c r="N10" s="644">
        <f>SUM('Resultater detaljert Bygg'!AE12:AF12)</f>
        <v>-4737.9481245466914</v>
      </c>
    </row>
    <row r="11" spans="2:30">
      <c r="B11" s="339">
        <f>'Inndata Bygg'!B16</f>
        <v>0</v>
      </c>
      <c r="C11" s="340">
        <f>'Inndata Bygg'!C16</f>
        <v>0</v>
      </c>
      <c r="D11" s="340">
        <f>'Inndata Bygg'!D16</f>
        <v>0</v>
      </c>
      <c r="E11" s="340"/>
      <c r="F11" s="581">
        <f t="array" ref="F11">SUM(IFERROR(G11:N11,0))</f>
        <v>0</v>
      </c>
      <c r="G11" s="582">
        <f>'Inndata Bygg'!E16</f>
        <v>0</v>
      </c>
      <c r="H11" s="583">
        <f>SUM('Resultater detaljert Bygg'!N13:P13)</f>
        <v>0</v>
      </c>
      <c r="I11" s="584">
        <f>SUM('Resultater detaljert Bygg'!Q13:U13)</f>
        <v>0</v>
      </c>
      <c r="J11" s="582">
        <f>SUM('Resultater detaljert Bygg'!X13:AB13)</f>
        <v>0</v>
      </c>
      <c r="K11" s="584">
        <f>SUM('Resultater detaljert Bygg'!V13:W13)</f>
        <v>0</v>
      </c>
      <c r="L11" s="583">
        <f>'Resultater detaljert Bygg'!AC13</f>
        <v>0</v>
      </c>
      <c r="M11" s="583">
        <f>'Resultater detaljert Bygg'!AD13</f>
        <v>0</v>
      </c>
      <c r="N11" s="584">
        <f>SUM('Resultater detaljert Bygg'!AE13:AF13)</f>
        <v>0</v>
      </c>
    </row>
    <row r="12" spans="2:30">
      <c r="B12" s="339">
        <f>'Inndata Bygg'!B17</f>
        <v>0</v>
      </c>
      <c r="C12" s="340">
        <f>'Inndata Bygg'!C17</f>
        <v>0</v>
      </c>
      <c r="D12" s="340">
        <f>'Inndata Bygg'!D17</f>
        <v>0</v>
      </c>
      <c r="E12" s="340"/>
      <c r="F12" s="581">
        <f t="array" ref="F12">SUM(IFERROR(G12:N12,0))</f>
        <v>0</v>
      </c>
      <c r="G12" s="582">
        <f>'Inndata Bygg'!E17</f>
        <v>0</v>
      </c>
      <c r="H12" s="583">
        <f>SUM('Resultater detaljert Bygg'!N14:P14)</f>
        <v>0</v>
      </c>
      <c r="I12" s="584">
        <f>SUM('Resultater detaljert Bygg'!Q14:U14)</f>
        <v>0</v>
      </c>
      <c r="J12" s="582">
        <f>SUM('Resultater detaljert Bygg'!X14:AB14)</f>
        <v>0</v>
      </c>
      <c r="K12" s="584">
        <f>SUM('Resultater detaljert Bygg'!V14:W14)</f>
        <v>0</v>
      </c>
      <c r="L12" s="583">
        <f>'Resultater detaljert Bygg'!AC14</f>
        <v>0</v>
      </c>
      <c r="M12" s="583">
        <f>'Resultater detaljert Bygg'!AD14</f>
        <v>0</v>
      </c>
      <c r="N12" s="584">
        <f>SUM('Resultater detaljert Bygg'!AE14:AF14)</f>
        <v>0</v>
      </c>
    </row>
    <row r="13" spans="2:30">
      <c r="B13" s="339">
        <f>'Inndata Bygg'!B18</f>
        <v>0</v>
      </c>
      <c r="C13" s="340">
        <f>'Inndata Bygg'!C18</f>
        <v>0</v>
      </c>
      <c r="D13" s="340">
        <f>'Inndata Bygg'!D18</f>
        <v>0</v>
      </c>
      <c r="E13" s="340"/>
      <c r="F13" s="581">
        <f t="array" ref="F13">SUM(IFERROR(G13:N13,0))</f>
        <v>0</v>
      </c>
      <c r="G13" s="582">
        <f>'Inndata Bygg'!E18</f>
        <v>0</v>
      </c>
      <c r="H13" s="583">
        <f>SUM('Resultater detaljert Bygg'!N15:P15)</f>
        <v>0</v>
      </c>
      <c r="I13" s="584">
        <f>SUM('Resultater detaljert Bygg'!Q15:U15)</f>
        <v>0</v>
      </c>
      <c r="J13" s="582">
        <f>SUM('Resultater detaljert Bygg'!X15:AB15)</f>
        <v>0</v>
      </c>
      <c r="K13" s="584">
        <f>SUM('Resultater detaljert Bygg'!V15:W15)</f>
        <v>0</v>
      </c>
      <c r="L13" s="583">
        <f>'Resultater detaljert Bygg'!AC15</f>
        <v>0</v>
      </c>
      <c r="M13" s="583">
        <f>'Resultater detaljert Bygg'!AD15</f>
        <v>0</v>
      </c>
      <c r="N13" s="584">
        <f>SUM('Resultater detaljert Bygg'!AE15:AF15)</f>
        <v>0</v>
      </c>
    </row>
    <row r="14" spans="2:30">
      <c r="B14" s="339">
        <f>'Inndata Bygg'!B19</f>
        <v>0</v>
      </c>
      <c r="C14" s="340">
        <f>'Inndata Bygg'!C19</f>
        <v>0</v>
      </c>
      <c r="D14" s="340">
        <f>'Inndata Bygg'!D19</f>
        <v>0</v>
      </c>
      <c r="E14" s="340"/>
      <c r="F14" s="581">
        <f t="array" ref="F14">SUM(IFERROR(G14:N14,0))</f>
        <v>0</v>
      </c>
      <c r="G14" s="582">
        <f>'Inndata Bygg'!E19</f>
        <v>0</v>
      </c>
      <c r="H14" s="583">
        <f>SUM('Resultater detaljert Bygg'!N16:P16)</f>
        <v>0</v>
      </c>
      <c r="I14" s="584">
        <f>SUM('Resultater detaljert Bygg'!Q16:U16)</f>
        <v>0</v>
      </c>
      <c r="J14" s="582">
        <f>SUM('Resultater detaljert Bygg'!X16:AB16)</f>
        <v>0</v>
      </c>
      <c r="K14" s="584">
        <f>SUM('Resultater detaljert Bygg'!V16:W16)</f>
        <v>0</v>
      </c>
      <c r="L14" s="583">
        <f>'Resultater detaljert Bygg'!AC16</f>
        <v>0</v>
      </c>
      <c r="M14" s="583">
        <f>'Resultater detaljert Bygg'!AD16</f>
        <v>0</v>
      </c>
      <c r="N14" s="584">
        <f>SUM('Resultater detaljert Bygg'!AE16:AF16)</f>
        <v>0</v>
      </c>
    </row>
    <row r="15" spans="2:30">
      <c r="B15" s="339">
        <f>'Inndata Bygg'!B20</f>
        <v>0</v>
      </c>
      <c r="C15" s="340">
        <f>'Inndata Bygg'!C20</f>
        <v>0</v>
      </c>
      <c r="D15" s="340">
        <f>'Inndata Bygg'!D20</f>
        <v>0</v>
      </c>
      <c r="E15" s="340"/>
      <c r="F15" s="581">
        <f t="array" ref="F15">SUM(IFERROR(G15:N15,0))</f>
        <v>0</v>
      </c>
      <c r="G15" s="582">
        <f>'Inndata Bygg'!E20</f>
        <v>0</v>
      </c>
      <c r="H15" s="583">
        <f>SUM('Resultater detaljert Bygg'!N17:P17)</f>
        <v>0</v>
      </c>
      <c r="I15" s="584">
        <f>SUM('Resultater detaljert Bygg'!Q17:U17)</f>
        <v>0</v>
      </c>
      <c r="J15" s="582">
        <f>SUM('Resultater detaljert Bygg'!X17:AB17)</f>
        <v>0</v>
      </c>
      <c r="K15" s="584">
        <f>SUM('Resultater detaljert Bygg'!V17:W17)</f>
        <v>0</v>
      </c>
      <c r="L15" s="583">
        <f>'Resultater detaljert Bygg'!AC17</f>
        <v>0</v>
      </c>
      <c r="M15" s="583">
        <f>'Resultater detaljert Bygg'!AD17</f>
        <v>0</v>
      </c>
      <c r="N15" s="584">
        <f>SUM('Resultater detaljert Bygg'!AE17:AF17)</f>
        <v>0</v>
      </c>
    </row>
    <row r="16" spans="2:30" ht="16.5" customHeight="1">
      <c r="B16" s="339">
        <f>'Inndata Bygg'!B21</f>
        <v>0</v>
      </c>
      <c r="C16" s="340">
        <f>'Inndata Bygg'!C21</f>
        <v>0</v>
      </c>
      <c r="D16" s="340">
        <f>'Inndata Bygg'!D21</f>
        <v>0</v>
      </c>
      <c r="E16" s="340"/>
      <c r="F16" s="581">
        <f t="array" ref="F16">SUM(IFERROR(G16:N16,0))</f>
        <v>0</v>
      </c>
      <c r="G16" s="582">
        <f>'Inndata Bygg'!E21</f>
        <v>0</v>
      </c>
      <c r="H16" s="583">
        <f>SUM('Resultater detaljert Bygg'!N18:P18)</f>
        <v>0</v>
      </c>
      <c r="I16" s="584">
        <f>SUM('Resultater detaljert Bygg'!Q18:U18)</f>
        <v>0</v>
      </c>
      <c r="J16" s="582">
        <f>SUM('Resultater detaljert Bygg'!X18:AB18)</f>
        <v>0</v>
      </c>
      <c r="K16" s="584">
        <f>SUM('Resultater detaljert Bygg'!V18:W18)</f>
        <v>0</v>
      </c>
      <c r="L16" s="583">
        <f>'Resultater detaljert Bygg'!AC18</f>
        <v>0</v>
      </c>
      <c r="M16" s="583">
        <f>'Resultater detaljert Bygg'!AD18</f>
        <v>0</v>
      </c>
      <c r="N16" s="584">
        <f>SUM('Resultater detaljert Bygg'!AE18:AF18)</f>
        <v>0</v>
      </c>
      <c r="P16" s="166"/>
    </row>
    <row r="17" spans="2:14">
      <c r="B17" s="339">
        <f>'Inndata Bygg'!B22</f>
        <v>0</v>
      </c>
      <c r="C17" s="340">
        <f>'Inndata Bygg'!C22</f>
        <v>0</v>
      </c>
      <c r="D17" s="340">
        <f>'Inndata Bygg'!D22</f>
        <v>0</v>
      </c>
      <c r="E17" s="340"/>
      <c r="F17" s="581">
        <f t="array" ref="F17">SUM(IFERROR(G17:N17,0))</f>
        <v>0</v>
      </c>
      <c r="G17" s="582">
        <f>'Inndata Bygg'!E22</f>
        <v>0</v>
      </c>
      <c r="H17" s="583">
        <f>SUM('Resultater detaljert Bygg'!N19:P19)</f>
        <v>0</v>
      </c>
      <c r="I17" s="584">
        <f>SUM('Resultater detaljert Bygg'!Q19:U19)</f>
        <v>0</v>
      </c>
      <c r="J17" s="582">
        <f>SUM('Resultater detaljert Bygg'!X19:AB19)</f>
        <v>0</v>
      </c>
      <c r="K17" s="584">
        <f>SUM('Resultater detaljert Bygg'!V19:W19)</f>
        <v>0</v>
      </c>
      <c r="L17" s="583">
        <f>'Resultater detaljert Bygg'!AC19</f>
        <v>0</v>
      </c>
      <c r="M17" s="583">
        <f>'Resultater detaljert Bygg'!AD19</f>
        <v>0</v>
      </c>
      <c r="N17" s="584">
        <f>SUM('Resultater detaljert Bygg'!AE19:AF19)</f>
        <v>0</v>
      </c>
    </row>
    <row r="18" spans="2:14">
      <c r="B18" s="339">
        <f>'Inndata Bygg'!B23</f>
        <v>0</v>
      </c>
      <c r="C18" s="340">
        <f>'Inndata Bygg'!C23</f>
        <v>0</v>
      </c>
      <c r="D18" s="340">
        <f>'Inndata Bygg'!D23</f>
        <v>0</v>
      </c>
      <c r="E18" s="340"/>
      <c r="F18" s="581">
        <f t="array" ref="F18">SUM(IFERROR(G18:N18,0))</f>
        <v>0</v>
      </c>
      <c r="G18" s="582">
        <f>'Inndata Bygg'!E23</f>
        <v>0</v>
      </c>
      <c r="H18" s="583">
        <f>SUM('Resultater detaljert Bygg'!N20:P20)</f>
        <v>0</v>
      </c>
      <c r="I18" s="584">
        <f>SUM('Resultater detaljert Bygg'!Q20:U20)</f>
        <v>0</v>
      </c>
      <c r="J18" s="582">
        <f>SUM('Resultater detaljert Bygg'!X20:AB20)</f>
        <v>0</v>
      </c>
      <c r="K18" s="584">
        <f>SUM('Resultater detaljert Bygg'!V20:W20)</f>
        <v>0</v>
      </c>
      <c r="L18" s="583">
        <f>'Resultater detaljert Bygg'!AC20</f>
        <v>0</v>
      </c>
      <c r="M18" s="583">
        <f>'Resultater detaljert Bygg'!AD20</f>
        <v>0</v>
      </c>
      <c r="N18" s="584">
        <f>SUM('Resultater detaljert Bygg'!AE20:AF20)</f>
        <v>0</v>
      </c>
    </row>
    <row r="19" spans="2:14">
      <c r="B19" s="339">
        <f>'Inndata Bygg'!B24</f>
        <v>0</v>
      </c>
      <c r="C19" s="340">
        <f>'Inndata Bygg'!C24</f>
        <v>0</v>
      </c>
      <c r="D19" s="340">
        <f>'Inndata Bygg'!D24</f>
        <v>0</v>
      </c>
      <c r="E19" s="340"/>
      <c r="F19" s="581">
        <f t="array" ref="F19">SUM(IFERROR(G19:N19,0))</f>
        <v>0</v>
      </c>
      <c r="G19" s="582">
        <f>'Inndata Bygg'!E24</f>
        <v>0</v>
      </c>
      <c r="H19" s="583">
        <f>SUM('Resultater detaljert Bygg'!N21:P21)</f>
        <v>0</v>
      </c>
      <c r="I19" s="584">
        <f>SUM('Resultater detaljert Bygg'!Q21:U21)</f>
        <v>0</v>
      </c>
      <c r="J19" s="582">
        <f>SUM('Resultater detaljert Bygg'!X21:AB21)</f>
        <v>0</v>
      </c>
      <c r="K19" s="584">
        <f>SUM('Resultater detaljert Bygg'!V21:W21)</f>
        <v>0</v>
      </c>
      <c r="L19" s="583">
        <f>'Resultater detaljert Bygg'!AC21</f>
        <v>0</v>
      </c>
      <c r="M19" s="583">
        <f>'Resultater detaljert Bygg'!AD21</f>
        <v>0</v>
      </c>
      <c r="N19" s="584">
        <f>SUM('Resultater detaljert Bygg'!AE21:AF21)</f>
        <v>0</v>
      </c>
    </row>
    <row r="20" spans="2:14">
      <c r="B20" s="339">
        <f>'Inndata Bygg'!B25</f>
        <v>0</v>
      </c>
      <c r="C20" s="340">
        <f>'Inndata Bygg'!C25</f>
        <v>0</v>
      </c>
      <c r="D20" s="340">
        <f>'Inndata Bygg'!D25</f>
        <v>0</v>
      </c>
      <c r="E20" s="340"/>
      <c r="F20" s="581">
        <f t="array" ref="F20">SUM(IFERROR(G20:N20,0))</f>
        <v>0</v>
      </c>
      <c r="G20" s="582">
        <f>'Inndata Bygg'!E25</f>
        <v>0</v>
      </c>
      <c r="H20" s="583">
        <f>SUM('Resultater detaljert Bygg'!N22:P22)</f>
        <v>0</v>
      </c>
      <c r="I20" s="584">
        <f>SUM('Resultater detaljert Bygg'!Q22:U22)</f>
        <v>0</v>
      </c>
      <c r="J20" s="582">
        <f>SUM('Resultater detaljert Bygg'!X22:AB22)</f>
        <v>0</v>
      </c>
      <c r="K20" s="584">
        <f>SUM('Resultater detaljert Bygg'!V22:W22)</f>
        <v>0</v>
      </c>
      <c r="L20" s="583">
        <f>'Resultater detaljert Bygg'!AC22</f>
        <v>0</v>
      </c>
      <c r="M20" s="583">
        <f>'Resultater detaljert Bygg'!AD22</f>
        <v>0</v>
      </c>
      <c r="N20" s="584">
        <f>SUM('Resultater detaljert Bygg'!AE22:AF22)</f>
        <v>0</v>
      </c>
    </row>
    <row r="21" spans="2:14">
      <c r="B21" s="339">
        <f>'Inndata Bygg'!B26</f>
        <v>0</v>
      </c>
      <c r="C21" s="340">
        <f>'Inndata Bygg'!C26</f>
        <v>0</v>
      </c>
      <c r="D21" s="340">
        <f>'Inndata Bygg'!D26</f>
        <v>0</v>
      </c>
      <c r="E21" s="340"/>
      <c r="F21" s="581">
        <f t="array" ref="F21">SUM(IFERROR(G21:N21,0))</f>
        <v>0</v>
      </c>
      <c r="G21" s="582">
        <f>'Inndata Bygg'!E26</f>
        <v>0</v>
      </c>
      <c r="H21" s="583">
        <f>SUM('Resultater detaljert Bygg'!N23:P23)</f>
        <v>0</v>
      </c>
      <c r="I21" s="584">
        <f>SUM('Resultater detaljert Bygg'!Q23:U23)</f>
        <v>0</v>
      </c>
      <c r="J21" s="582">
        <f>SUM('Resultater detaljert Bygg'!X23:AB23)</f>
        <v>0</v>
      </c>
      <c r="K21" s="584">
        <f>SUM('Resultater detaljert Bygg'!V23:W23)</f>
        <v>0</v>
      </c>
      <c r="L21" s="583">
        <f>'Resultater detaljert Bygg'!AC23</f>
        <v>0</v>
      </c>
      <c r="M21" s="583">
        <f>'Resultater detaljert Bygg'!AD23</f>
        <v>0</v>
      </c>
      <c r="N21" s="584">
        <f>SUM('Resultater detaljert Bygg'!AE23:AF23)</f>
        <v>0</v>
      </c>
    </row>
    <row r="22" spans="2:14">
      <c r="B22" s="339">
        <f>'Inndata Bygg'!B27</f>
        <v>0</v>
      </c>
      <c r="C22" s="340">
        <f>'Inndata Bygg'!C27</f>
        <v>0</v>
      </c>
      <c r="D22" s="340">
        <f>'Inndata Bygg'!D27</f>
        <v>0</v>
      </c>
      <c r="E22" s="340"/>
      <c r="F22" s="581">
        <f t="array" ref="F22">SUM(IFERROR(G22:N22,0))</f>
        <v>0</v>
      </c>
      <c r="G22" s="582">
        <f>'Inndata Bygg'!E27</f>
        <v>0</v>
      </c>
      <c r="H22" s="583">
        <f>SUM('Resultater detaljert Bygg'!N24:P24)</f>
        <v>0</v>
      </c>
      <c r="I22" s="584">
        <f>SUM('Resultater detaljert Bygg'!Q24:U24)</f>
        <v>0</v>
      </c>
      <c r="J22" s="582">
        <f>SUM('Resultater detaljert Bygg'!X24:AB24)</f>
        <v>0</v>
      </c>
      <c r="K22" s="584">
        <f>SUM('Resultater detaljert Bygg'!V24:W24)</f>
        <v>0</v>
      </c>
      <c r="L22" s="583">
        <f>'Resultater detaljert Bygg'!AC24</f>
        <v>0</v>
      </c>
      <c r="M22" s="583">
        <f>'Resultater detaljert Bygg'!AD24</f>
        <v>0</v>
      </c>
      <c r="N22" s="584">
        <f>SUM('Resultater detaljert Bygg'!AE24:AF24)</f>
        <v>0</v>
      </c>
    </row>
    <row r="23" spans="2:14">
      <c r="B23" s="339">
        <f>'Inndata Bygg'!B28</f>
        <v>0</v>
      </c>
      <c r="C23" s="340">
        <f>'Inndata Bygg'!C28</f>
        <v>0</v>
      </c>
      <c r="D23" s="340">
        <f>'Inndata Bygg'!D28</f>
        <v>0</v>
      </c>
      <c r="E23" s="340"/>
      <c r="F23" s="581">
        <f t="array" ref="F23">SUM(IFERROR(G23:N23,0))</f>
        <v>0</v>
      </c>
      <c r="G23" s="582">
        <f>'Inndata Bygg'!E28</f>
        <v>0</v>
      </c>
      <c r="H23" s="583">
        <f>SUM('Resultater detaljert Bygg'!N25:P25)</f>
        <v>0</v>
      </c>
      <c r="I23" s="584">
        <f>SUM('Resultater detaljert Bygg'!Q25:U25)</f>
        <v>0</v>
      </c>
      <c r="J23" s="582">
        <f>SUM('Resultater detaljert Bygg'!X25:AB25)</f>
        <v>0</v>
      </c>
      <c r="K23" s="584">
        <f>SUM('Resultater detaljert Bygg'!V25:W25)</f>
        <v>0</v>
      </c>
      <c r="L23" s="583">
        <f>'Resultater detaljert Bygg'!AC25</f>
        <v>0</v>
      </c>
      <c r="M23" s="583">
        <f>'Resultater detaljert Bygg'!AD25</f>
        <v>0</v>
      </c>
      <c r="N23" s="584">
        <f>SUM('Resultater detaljert Bygg'!AE25:AF25)</f>
        <v>0</v>
      </c>
    </row>
    <row r="24" spans="2:14">
      <c r="B24" s="339">
        <f>'Inndata Bygg'!B29</f>
        <v>0</v>
      </c>
      <c r="C24" s="340">
        <f>'Inndata Bygg'!C29</f>
        <v>0</v>
      </c>
      <c r="D24" s="340">
        <f>'Inndata Bygg'!D29</f>
        <v>0</v>
      </c>
      <c r="E24" s="340"/>
      <c r="F24" s="581">
        <f t="array" ref="F24">SUM(IFERROR(G24:N24,0))</f>
        <v>0</v>
      </c>
      <c r="G24" s="582">
        <f>'Inndata Bygg'!E29</f>
        <v>0</v>
      </c>
      <c r="H24" s="583">
        <f>SUM('Resultater detaljert Bygg'!N26:P26)</f>
        <v>0</v>
      </c>
      <c r="I24" s="584">
        <f>SUM('Resultater detaljert Bygg'!Q26:U26)</f>
        <v>0</v>
      </c>
      <c r="J24" s="582">
        <f>SUM('Resultater detaljert Bygg'!X26:AB26)</f>
        <v>0</v>
      </c>
      <c r="K24" s="584">
        <f>SUM('Resultater detaljert Bygg'!V26:W26)</f>
        <v>0</v>
      </c>
      <c r="L24" s="583">
        <f>'Resultater detaljert Bygg'!AC26</f>
        <v>0</v>
      </c>
      <c r="M24" s="583">
        <f>'Resultater detaljert Bygg'!AD26</f>
        <v>0</v>
      </c>
      <c r="N24" s="584">
        <f>SUM('Resultater detaljert Bygg'!AE26:AF26)</f>
        <v>0</v>
      </c>
    </row>
    <row r="25" spans="2:14">
      <c r="B25" s="339">
        <f>'Inndata Bygg'!B30</f>
        <v>0</v>
      </c>
      <c r="C25" s="340">
        <f>'Inndata Bygg'!C30</f>
        <v>0</v>
      </c>
      <c r="D25" s="340">
        <f>'Inndata Bygg'!D30</f>
        <v>0</v>
      </c>
      <c r="E25" s="340"/>
      <c r="F25" s="581">
        <f t="array" ref="F25">SUM(IFERROR(G25:N25,0))</f>
        <v>0</v>
      </c>
      <c r="G25" s="582">
        <f>'Inndata Bygg'!E30</f>
        <v>0</v>
      </c>
      <c r="H25" s="583">
        <f>SUM('Resultater detaljert Bygg'!N27:P27)</f>
        <v>0</v>
      </c>
      <c r="I25" s="584">
        <f>SUM('Resultater detaljert Bygg'!Q27:U27)</f>
        <v>0</v>
      </c>
      <c r="J25" s="582">
        <f>SUM('Resultater detaljert Bygg'!X27:AB27)</f>
        <v>0</v>
      </c>
      <c r="K25" s="584">
        <f>SUM('Resultater detaljert Bygg'!V27:W27)</f>
        <v>0</v>
      </c>
      <c r="L25" s="583">
        <f>'Resultater detaljert Bygg'!AC27</f>
        <v>0</v>
      </c>
      <c r="M25" s="583">
        <f>'Resultater detaljert Bygg'!AD27</f>
        <v>0</v>
      </c>
      <c r="N25" s="584">
        <f>SUM('Resultater detaljert Bygg'!AE27:AF27)</f>
        <v>0</v>
      </c>
    </row>
    <row r="26" spans="2:14">
      <c r="B26" s="339">
        <f>'Inndata Bygg'!B31</f>
        <v>0</v>
      </c>
      <c r="C26" s="340">
        <f>'Inndata Bygg'!C31</f>
        <v>0</v>
      </c>
      <c r="D26" s="340">
        <f>'Inndata Bygg'!D31</f>
        <v>0</v>
      </c>
      <c r="E26" s="340"/>
      <c r="F26" s="581">
        <f t="array" ref="F26">SUM(IFERROR(G26:N26,0))</f>
        <v>0</v>
      </c>
      <c r="G26" s="582">
        <f>'Inndata Bygg'!E31</f>
        <v>0</v>
      </c>
      <c r="H26" s="583">
        <f>SUM('Resultater detaljert Bygg'!N28:P28)</f>
        <v>0</v>
      </c>
      <c r="I26" s="584">
        <f>SUM('Resultater detaljert Bygg'!Q28:U28)</f>
        <v>0</v>
      </c>
      <c r="J26" s="582">
        <f>SUM('Resultater detaljert Bygg'!X28:AB28)</f>
        <v>0</v>
      </c>
      <c r="K26" s="584">
        <f>SUM('Resultater detaljert Bygg'!V28:W28)</f>
        <v>0</v>
      </c>
      <c r="L26" s="583">
        <f>'Resultater detaljert Bygg'!AC28</f>
        <v>0</v>
      </c>
      <c r="M26" s="583">
        <f>'Resultater detaljert Bygg'!AD28</f>
        <v>0</v>
      </c>
      <c r="N26" s="584">
        <f>SUM('Resultater detaljert Bygg'!AE28:AF28)</f>
        <v>0</v>
      </c>
    </row>
    <row r="27" spans="2:14">
      <c r="B27" s="339">
        <f>'Inndata Bygg'!B32</f>
        <v>0</v>
      </c>
      <c r="C27" s="340">
        <f>'Inndata Bygg'!C32</f>
        <v>0</v>
      </c>
      <c r="D27" s="340">
        <f>'Inndata Bygg'!D32</f>
        <v>0</v>
      </c>
      <c r="E27" s="340"/>
      <c r="F27" s="581">
        <f t="array" ref="F27">SUM(IFERROR(G27:N27,0))</f>
        <v>0</v>
      </c>
      <c r="G27" s="582">
        <f>'Inndata Bygg'!E32</f>
        <v>0</v>
      </c>
      <c r="H27" s="583">
        <f>SUM('Resultater detaljert Bygg'!N29:P29)</f>
        <v>0</v>
      </c>
      <c r="I27" s="584">
        <f>SUM('Resultater detaljert Bygg'!Q29:U29)</f>
        <v>0</v>
      </c>
      <c r="J27" s="582">
        <f>SUM('Resultater detaljert Bygg'!X29:AB29)</f>
        <v>0</v>
      </c>
      <c r="K27" s="584">
        <f>SUM('Resultater detaljert Bygg'!V29:W29)</f>
        <v>0</v>
      </c>
      <c r="L27" s="583">
        <f>'Resultater detaljert Bygg'!AC29</f>
        <v>0</v>
      </c>
      <c r="M27" s="583">
        <f>'Resultater detaljert Bygg'!AD29</f>
        <v>0</v>
      </c>
      <c r="N27" s="584">
        <f>SUM('Resultater detaljert Bygg'!AE29:AF29)</f>
        <v>0</v>
      </c>
    </row>
    <row r="28" spans="2:14">
      <c r="B28" s="339">
        <f>'Inndata Bygg'!B33</f>
        <v>0</v>
      </c>
      <c r="C28" s="340">
        <f>'Inndata Bygg'!C33</f>
        <v>0</v>
      </c>
      <c r="D28" s="340">
        <f>'Inndata Bygg'!D33</f>
        <v>0</v>
      </c>
      <c r="E28" s="340"/>
      <c r="F28" s="581">
        <f t="array" ref="F28">SUM(IFERROR(G28:N28,0))</f>
        <v>0</v>
      </c>
      <c r="G28" s="582">
        <f>'Inndata Bygg'!E33</f>
        <v>0</v>
      </c>
      <c r="H28" s="583">
        <f>SUM('Resultater detaljert Bygg'!N30:P30)</f>
        <v>0</v>
      </c>
      <c r="I28" s="584">
        <f>SUM('Resultater detaljert Bygg'!Q30:U30)</f>
        <v>0</v>
      </c>
      <c r="J28" s="582">
        <f>SUM('Resultater detaljert Bygg'!X30:AB30)</f>
        <v>0</v>
      </c>
      <c r="K28" s="584">
        <f>SUM('Resultater detaljert Bygg'!V30:W30)</f>
        <v>0</v>
      </c>
      <c r="L28" s="583">
        <f>'Resultater detaljert Bygg'!AC30</f>
        <v>0</v>
      </c>
      <c r="M28" s="583">
        <f>'Resultater detaljert Bygg'!AD30</f>
        <v>0</v>
      </c>
      <c r="N28" s="584">
        <f>SUM('Resultater detaljert Bygg'!AE30:AF30)</f>
        <v>0</v>
      </c>
    </row>
    <row r="29" spans="2:14">
      <c r="B29" s="339">
        <f>'Inndata Bygg'!B34</f>
        <v>0</v>
      </c>
      <c r="C29" s="340">
        <f>'Inndata Bygg'!C34</f>
        <v>0</v>
      </c>
      <c r="D29" s="340">
        <f>'Inndata Bygg'!D34</f>
        <v>0</v>
      </c>
      <c r="E29" s="340"/>
      <c r="F29" s="581">
        <f t="array" ref="F29">SUM(IFERROR(G29:N29,0))</f>
        <v>0</v>
      </c>
      <c r="G29" s="582">
        <f>'Inndata Bygg'!E34</f>
        <v>0</v>
      </c>
      <c r="H29" s="583">
        <f>SUM('Resultater detaljert Bygg'!N31:P31)</f>
        <v>0</v>
      </c>
      <c r="I29" s="584">
        <f>SUM('Resultater detaljert Bygg'!Q31:U31)</f>
        <v>0</v>
      </c>
      <c r="J29" s="582">
        <f>SUM('Resultater detaljert Bygg'!X31:AB31)</f>
        <v>0</v>
      </c>
      <c r="K29" s="584">
        <f>SUM('Resultater detaljert Bygg'!V31:W31)</f>
        <v>0</v>
      </c>
      <c r="L29" s="583">
        <f>'Resultater detaljert Bygg'!AC31</f>
        <v>0</v>
      </c>
      <c r="M29" s="583">
        <f>'Resultater detaljert Bygg'!AD31</f>
        <v>0</v>
      </c>
      <c r="N29" s="584">
        <f>SUM('Resultater detaljert Bygg'!AE31:AF31)</f>
        <v>0</v>
      </c>
    </row>
    <row r="30" spans="2:14">
      <c r="B30" s="339">
        <f>'Inndata Bygg'!B35</f>
        <v>0</v>
      </c>
      <c r="C30" s="340">
        <f>'Inndata Bygg'!C35</f>
        <v>0</v>
      </c>
      <c r="D30" s="340">
        <f>'Inndata Bygg'!D35</f>
        <v>0</v>
      </c>
      <c r="E30" s="340"/>
      <c r="F30" s="581">
        <f t="array" ref="F30">SUM(IFERROR(G30:N30,0))</f>
        <v>0</v>
      </c>
      <c r="G30" s="582">
        <f>'Inndata Bygg'!E35</f>
        <v>0</v>
      </c>
      <c r="H30" s="583">
        <f>SUM('Resultater detaljert Bygg'!N32:P32)</f>
        <v>0</v>
      </c>
      <c r="I30" s="584">
        <f>SUM('Resultater detaljert Bygg'!Q32:U32)</f>
        <v>0</v>
      </c>
      <c r="J30" s="582">
        <f>SUM('Resultater detaljert Bygg'!X32:AB32)</f>
        <v>0</v>
      </c>
      <c r="K30" s="584">
        <f>SUM('Resultater detaljert Bygg'!V32:W32)</f>
        <v>0</v>
      </c>
      <c r="L30" s="583">
        <f>'Resultater detaljert Bygg'!AC32</f>
        <v>0</v>
      </c>
      <c r="M30" s="583">
        <f>'Resultater detaljert Bygg'!AD32</f>
        <v>0</v>
      </c>
      <c r="N30" s="584">
        <f>SUM('Resultater detaljert Bygg'!AE32:AF32)</f>
        <v>0</v>
      </c>
    </row>
    <row r="31" spans="2:14">
      <c r="B31" s="339">
        <f>'Inndata Bygg'!B36</f>
        <v>0</v>
      </c>
      <c r="C31" s="340">
        <f>'Inndata Bygg'!C36</f>
        <v>0</v>
      </c>
      <c r="D31" s="340">
        <f>'Inndata Bygg'!D36</f>
        <v>0</v>
      </c>
      <c r="E31" s="340"/>
      <c r="F31" s="581">
        <f t="array" ref="F31">SUM(IFERROR(G31:N31,0))</f>
        <v>0</v>
      </c>
      <c r="G31" s="582">
        <f>'Inndata Bygg'!E36</f>
        <v>0</v>
      </c>
      <c r="H31" s="583">
        <f>SUM('Resultater detaljert Bygg'!N33:P33)</f>
        <v>0</v>
      </c>
      <c r="I31" s="584">
        <f>SUM('Resultater detaljert Bygg'!Q33:U33)</f>
        <v>0</v>
      </c>
      <c r="J31" s="582">
        <f>SUM('Resultater detaljert Bygg'!X33:AB33)</f>
        <v>0</v>
      </c>
      <c r="K31" s="584">
        <f>SUM('Resultater detaljert Bygg'!V33:W33)</f>
        <v>0</v>
      </c>
      <c r="L31" s="583">
        <f>'Resultater detaljert Bygg'!AC33</f>
        <v>0</v>
      </c>
      <c r="M31" s="583">
        <f>'Resultater detaljert Bygg'!AD33</f>
        <v>0</v>
      </c>
      <c r="N31" s="584">
        <f>SUM('Resultater detaljert Bygg'!AE33:AF33)</f>
        <v>0</v>
      </c>
    </row>
    <row r="32" spans="2:14">
      <c r="B32" s="339">
        <f>'Inndata Bygg'!B37</f>
        <v>0</v>
      </c>
      <c r="C32" s="340">
        <f>'Inndata Bygg'!C37</f>
        <v>0</v>
      </c>
      <c r="D32" s="340">
        <f>'Inndata Bygg'!D37</f>
        <v>0</v>
      </c>
      <c r="E32" s="340"/>
      <c r="F32" s="581">
        <f t="array" ref="F32">SUM(IFERROR(G32:N32,0))</f>
        <v>0</v>
      </c>
      <c r="G32" s="582">
        <f>'Inndata Bygg'!E37</f>
        <v>0</v>
      </c>
      <c r="H32" s="583">
        <f>SUM('Resultater detaljert Bygg'!N34:P34)</f>
        <v>0</v>
      </c>
      <c r="I32" s="584">
        <f>SUM('Resultater detaljert Bygg'!Q34:U34)</f>
        <v>0</v>
      </c>
      <c r="J32" s="582">
        <f>SUM('Resultater detaljert Bygg'!X34:AB34)</f>
        <v>0</v>
      </c>
      <c r="K32" s="584">
        <f>SUM('Resultater detaljert Bygg'!V34:W34)</f>
        <v>0</v>
      </c>
      <c r="L32" s="583">
        <f>'Resultater detaljert Bygg'!AC34</f>
        <v>0</v>
      </c>
      <c r="M32" s="583">
        <f>'Resultater detaljert Bygg'!AD34</f>
        <v>0</v>
      </c>
      <c r="N32" s="584">
        <f>SUM('Resultater detaljert Bygg'!AE34:AF34)</f>
        <v>0</v>
      </c>
    </row>
    <row r="33" spans="2:14">
      <c r="B33" s="339">
        <f>'Inndata Bygg'!B38</f>
        <v>0</v>
      </c>
      <c r="C33" s="340">
        <f>'Inndata Bygg'!C38</f>
        <v>0</v>
      </c>
      <c r="D33" s="340">
        <f>'Inndata Bygg'!D38</f>
        <v>0</v>
      </c>
      <c r="E33" s="340"/>
      <c r="F33" s="581">
        <f t="array" ref="F33">SUM(IFERROR(G33:N33,0))</f>
        <v>0</v>
      </c>
      <c r="G33" s="582">
        <f>'Inndata Bygg'!E38</f>
        <v>0</v>
      </c>
      <c r="H33" s="583">
        <f>SUM('Resultater detaljert Bygg'!N35:P35)</f>
        <v>0</v>
      </c>
      <c r="I33" s="584">
        <f>SUM('Resultater detaljert Bygg'!Q35:U35)</f>
        <v>0</v>
      </c>
      <c r="J33" s="582">
        <f>SUM('Resultater detaljert Bygg'!X35:AB35)</f>
        <v>0</v>
      </c>
      <c r="K33" s="584">
        <f>SUM('Resultater detaljert Bygg'!V35:W35)</f>
        <v>0</v>
      </c>
      <c r="L33" s="583">
        <f>'Resultater detaljert Bygg'!AC35</f>
        <v>0</v>
      </c>
      <c r="M33" s="583">
        <f>'Resultater detaljert Bygg'!AD35</f>
        <v>0</v>
      </c>
      <c r="N33" s="584">
        <f>SUM('Resultater detaljert Bygg'!AE35:AF35)</f>
        <v>0</v>
      </c>
    </row>
    <row r="34" spans="2:14">
      <c r="B34" s="339">
        <f>'Inndata Bygg'!B39</f>
        <v>0</v>
      </c>
      <c r="C34" s="340">
        <f>'Inndata Bygg'!C39</f>
        <v>0</v>
      </c>
      <c r="D34" s="340">
        <f>'Inndata Bygg'!D39</f>
        <v>0</v>
      </c>
      <c r="E34" s="340"/>
      <c r="F34" s="581">
        <f t="array" ref="F34">SUM(IFERROR(G34:N34,0))</f>
        <v>0</v>
      </c>
      <c r="G34" s="582">
        <f>'Inndata Bygg'!E39</f>
        <v>0</v>
      </c>
      <c r="H34" s="583">
        <f>SUM('Resultater detaljert Bygg'!N36:P36)</f>
        <v>0</v>
      </c>
      <c r="I34" s="584">
        <f>SUM('Resultater detaljert Bygg'!Q36:U36)</f>
        <v>0</v>
      </c>
      <c r="J34" s="582">
        <f>SUM('Resultater detaljert Bygg'!X36:AB36)</f>
        <v>0</v>
      </c>
      <c r="K34" s="584">
        <f>SUM('Resultater detaljert Bygg'!V36:W36)</f>
        <v>0</v>
      </c>
      <c r="L34" s="583">
        <f>'Resultater detaljert Bygg'!AC36</f>
        <v>0</v>
      </c>
      <c r="M34" s="583">
        <f>'Resultater detaljert Bygg'!AD36</f>
        <v>0</v>
      </c>
      <c r="N34" s="584">
        <f>SUM('Resultater detaljert Bygg'!AE36:AF36)</f>
        <v>0</v>
      </c>
    </row>
    <row r="35" spans="2:14">
      <c r="B35" s="339">
        <f>'Inndata Bygg'!B40</f>
        <v>0</v>
      </c>
      <c r="C35" s="340">
        <f>'Inndata Bygg'!C40</f>
        <v>0</v>
      </c>
      <c r="D35" s="340">
        <f>'Inndata Bygg'!D40</f>
        <v>0</v>
      </c>
      <c r="E35" s="340"/>
      <c r="F35" s="581">
        <f t="array" ref="F35">SUM(IFERROR(G35:N35,0))</f>
        <v>0</v>
      </c>
      <c r="G35" s="582">
        <f>'Inndata Bygg'!E40</f>
        <v>0</v>
      </c>
      <c r="H35" s="583">
        <f>SUM('Resultater detaljert Bygg'!N37:P37)</f>
        <v>0</v>
      </c>
      <c r="I35" s="584">
        <f>SUM('Resultater detaljert Bygg'!Q37:U37)</f>
        <v>0</v>
      </c>
      <c r="J35" s="582">
        <f>SUM('Resultater detaljert Bygg'!X37:AB37)</f>
        <v>0</v>
      </c>
      <c r="K35" s="584">
        <f>SUM('Resultater detaljert Bygg'!V37:W37)</f>
        <v>0</v>
      </c>
      <c r="L35" s="583">
        <f>'Resultater detaljert Bygg'!AC37</f>
        <v>0</v>
      </c>
      <c r="M35" s="583">
        <f>'Resultater detaljert Bygg'!AD37</f>
        <v>0</v>
      </c>
      <c r="N35" s="584">
        <f>SUM('Resultater detaljert Bygg'!AE37:AF37)</f>
        <v>0</v>
      </c>
    </row>
    <row r="36" spans="2:14">
      <c r="B36" s="339">
        <f>'Inndata Bygg'!B41</f>
        <v>0</v>
      </c>
      <c r="C36" s="340">
        <f>'Inndata Bygg'!C41</f>
        <v>0</v>
      </c>
      <c r="D36" s="340">
        <f>'Inndata Bygg'!D41</f>
        <v>0</v>
      </c>
      <c r="E36" s="340"/>
      <c r="F36" s="581">
        <f t="array" ref="F36">SUM(IFERROR(G36:N36,0))</f>
        <v>0</v>
      </c>
      <c r="G36" s="582">
        <f>'Inndata Bygg'!E41</f>
        <v>0</v>
      </c>
      <c r="H36" s="583">
        <f>SUM('Resultater detaljert Bygg'!N38:P38)</f>
        <v>0</v>
      </c>
      <c r="I36" s="584">
        <f>SUM('Resultater detaljert Bygg'!Q38:U38)</f>
        <v>0</v>
      </c>
      <c r="J36" s="582">
        <f>SUM('Resultater detaljert Bygg'!X38:AB38)</f>
        <v>0</v>
      </c>
      <c r="K36" s="584">
        <f>SUM('Resultater detaljert Bygg'!V38:W38)</f>
        <v>0</v>
      </c>
      <c r="L36" s="583">
        <f>'Resultater detaljert Bygg'!AC38</f>
        <v>0</v>
      </c>
      <c r="M36" s="583">
        <f>'Resultater detaljert Bygg'!AD38</f>
        <v>0</v>
      </c>
      <c r="N36" s="584">
        <f>SUM('Resultater detaljert Bygg'!AE38:AF38)</f>
        <v>0</v>
      </c>
    </row>
    <row r="37" spans="2:14">
      <c r="B37" s="339">
        <f>'Inndata Bygg'!B42</f>
        <v>0</v>
      </c>
      <c r="C37" s="340">
        <f>'Inndata Bygg'!C42</f>
        <v>0</v>
      </c>
      <c r="D37" s="340">
        <f>'Inndata Bygg'!D42</f>
        <v>0</v>
      </c>
      <c r="E37" s="340"/>
      <c r="F37" s="581">
        <f t="array" ref="F37">SUM(IFERROR(G37:N37,0))</f>
        <v>0</v>
      </c>
      <c r="G37" s="582">
        <f>'Inndata Bygg'!E42</f>
        <v>0</v>
      </c>
      <c r="H37" s="583">
        <f>SUM('Resultater detaljert Bygg'!N39:P39)</f>
        <v>0</v>
      </c>
      <c r="I37" s="584">
        <f>SUM('Resultater detaljert Bygg'!Q39:U39)</f>
        <v>0</v>
      </c>
      <c r="J37" s="582">
        <f>SUM('Resultater detaljert Bygg'!X39:AB39)</f>
        <v>0</v>
      </c>
      <c r="K37" s="584">
        <f>SUM('Resultater detaljert Bygg'!V39:W39)</f>
        <v>0</v>
      </c>
      <c r="L37" s="583">
        <f>'Resultater detaljert Bygg'!AC39</f>
        <v>0</v>
      </c>
      <c r="M37" s="583">
        <f>'Resultater detaljert Bygg'!AD39</f>
        <v>0</v>
      </c>
      <c r="N37" s="584">
        <f>SUM('Resultater detaljert Bygg'!AE39:AF39)</f>
        <v>0</v>
      </c>
    </row>
    <row r="38" spans="2:14">
      <c r="B38" s="339">
        <f>'Inndata Bygg'!B43</f>
        <v>0</v>
      </c>
      <c r="C38" s="340">
        <f>'Inndata Bygg'!C43</f>
        <v>0</v>
      </c>
      <c r="D38" s="340">
        <f>'Inndata Bygg'!D43</f>
        <v>0</v>
      </c>
      <c r="E38" s="340"/>
      <c r="F38" s="581">
        <f t="array" ref="F38">SUM(IFERROR(G38:N38,0))</f>
        <v>0</v>
      </c>
      <c r="G38" s="582">
        <f>'Inndata Bygg'!E43</f>
        <v>0</v>
      </c>
      <c r="H38" s="583">
        <f>SUM('Resultater detaljert Bygg'!N40:P40)</f>
        <v>0</v>
      </c>
      <c r="I38" s="584">
        <f>SUM('Resultater detaljert Bygg'!Q40:U40)</f>
        <v>0</v>
      </c>
      <c r="J38" s="582">
        <f>SUM('Resultater detaljert Bygg'!X40:AB40)</f>
        <v>0</v>
      </c>
      <c r="K38" s="584">
        <f>SUM('Resultater detaljert Bygg'!V40:W40)</f>
        <v>0</v>
      </c>
      <c r="L38" s="583">
        <f>'Resultater detaljert Bygg'!AC40</f>
        <v>0</v>
      </c>
      <c r="M38" s="583">
        <f>'Resultater detaljert Bygg'!AD40</f>
        <v>0</v>
      </c>
      <c r="N38" s="584">
        <f>SUM('Resultater detaljert Bygg'!AE40:AF40)</f>
        <v>0</v>
      </c>
    </row>
    <row r="39" spans="2:14">
      <c r="B39" s="339">
        <f>'Inndata Bygg'!B44</f>
        <v>0</v>
      </c>
      <c r="C39" s="340">
        <f>'Inndata Bygg'!C44</f>
        <v>0</v>
      </c>
      <c r="D39" s="340">
        <f>'Inndata Bygg'!D44</f>
        <v>0</v>
      </c>
      <c r="E39" s="340"/>
      <c r="F39" s="581">
        <f t="array" ref="F39">SUM(IFERROR(G39:N39,0))</f>
        <v>0</v>
      </c>
      <c r="G39" s="582">
        <f>'Inndata Bygg'!E44</f>
        <v>0</v>
      </c>
      <c r="H39" s="583">
        <f>SUM('Resultater detaljert Bygg'!N41:P41)</f>
        <v>0</v>
      </c>
      <c r="I39" s="584">
        <f>SUM('Resultater detaljert Bygg'!Q41:U41)</f>
        <v>0</v>
      </c>
      <c r="J39" s="582">
        <f>SUM('Resultater detaljert Bygg'!X41:AB41)</f>
        <v>0</v>
      </c>
      <c r="K39" s="584">
        <f>SUM('Resultater detaljert Bygg'!V41:W41)</f>
        <v>0</v>
      </c>
      <c r="L39" s="583">
        <f>'Resultater detaljert Bygg'!AC41</f>
        <v>0</v>
      </c>
      <c r="M39" s="583">
        <f>'Resultater detaljert Bygg'!AD41</f>
        <v>0</v>
      </c>
      <c r="N39" s="584">
        <f>SUM('Resultater detaljert Bygg'!AE41:AF41)</f>
        <v>0</v>
      </c>
    </row>
    <row r="40" spans="2:14">
      <c r="B40" s="339">
        <f>'Inndata Bygg'!B45</f>
        <v>0</v>
      </c>
      <c r="C40" s="340">
        <f>'Inndata Bygg'!C45</f>
        <v>0</v>
      </c>
      <c r="D40" s="340">
        <f>'Inndata Bygg'!D45</f>
        <v>0</v>
      </c>
      <c r="E40" s="340"/>
      <c r="F40" s="581">
        <f t="array" ref="F40">SUM(IFERROR(G40:N40,0))</f>
        <v>0</v>
      </c>
      <c r="G40" s="582">
        <f>'Inndata Bygg'!E45</f>
        <v>0</v>
      </c>
      <c r="H40" s="583">
        <f>SUM('Resultater detaljert Bygg'!N42:P42)</f>
        <v>0</v>
      </c>
      <c r="I40" s="584">
        <f>SUM('Resultater detaljert Bygg'!Q42:U42)</f>
        <v>0</v>
      </c>
      <c r="J40" s="582">
        <f>SUM('Resultater detaljert Bygg'!X42:AB42)</f>
        <v>0</v>
      </c>
      <c r="K40" s="584">
        <f>SUM('Resultater detaljert Bygg'!V42:W42)</f>
        <v>0</v>
      </c>
      <c r="L40" s="583">
        <f>'Resultater detaljert Bygg'!AC42</f>
        <v>0</v>
      </c>
      <c r="M40" s="583">
        <f>'Resultater detaljert Bygg'!AD42</f>
        <v>0</v>
      </c>
      <c r="N40" s="584">
        <f>SUM('Resultater detaljert Bygg'!AE42:AF42)</f>
        <v>0</v>
      </c>
    </row>
    <row r="41" spans="2:14">
      <c r="B41" s="339">
        <f>'Inndata Bygg'!B46</f>
        <v>0</v>
      </c>
      <c r="C41" s="340">
        <f>'Inndata Bygg'!C46</f>
        <v>0</v>
      </c>
      <c r="D41" s="340">
        <f>'Inndata Bygg'!D46</f>
        <v>0</v>
      </c>
      <c r="E41" s="340"/>
      <c r="F41" s="581">
        <f t="array" ref="F41">SUM(IFERROR(G41:N41,0))</f>
        <v>0</v>
      </c>
      <c r="G41" s="582">
        <f>'Inndata Bygg'!E46</f>
        <v>0</v>
      </c>
      <c r="H41" s="583">
        <f>SUM('Resultater detaljert Bygg'!N43:P43)</f>
        <v>0</v>
      </c>
      <c r="I41" s="584">
        <f>SUM('Resultater detaljert Bygg'!Q43:U43)</f>
        <v>0</v>
      </c>
      <c r="J41" s="582">
        <f>SUM('Resultater detaljert Bygg'!X43:AB43)</f>
        <v>0</v>
      </c>
      <c r="K41" s="584">
        <f>SUM('Resultater detaljert Bygg'!V43:W43)</f>
        <v>0</v>
      </c>
      <c r="L41" s="583">
        <f>'Resultater detaljert Bygg'!AC43</f>
        <v>0</v>
      </c>
      <c r="M41" s="583">
        <f>'Resultater detaljert Bygg'!AD43</f>
        <v>0</v>
      </c>
      <c r="N41" s="584">
        <f>SUM('Resultater detaljert Bygg'!AE43:AF43)</f>
        <v>0</v>
      </c>
    </row>
    <row r="42" spans="2:14">
      <c r="B42" s="339">
        <f>'Inndata Bygg'!B47</f>
        <v>0</v>
      </c>
      <c r="C42" s="340">
        <f>'Inndata Bygg'!C47</f>
        <v>0</v>
      </c>
      <c r="D42" s="340">
        <f>'Inndata Bygg'!D47</f>
        <v>0</v>
      </c>
      <c r="E42" s="340"/>
      <c r="F42" s="581">
        <f t="array" ref="F42">SUM(IFERROR(G42:N42,0))</f>
        <v>0</v>
      </c>
      <c r="G42" s="582">
        <f>'Inndata Bygg'!E47</f>
        <v>0</v>
      </c>
      <c r="H42" s="583">
        <f>SUM('Resultater detaljert Bygg'!N44:P44)</f>
        <v>0</v>
      </c>
      <c r="I42" s="584">
        <f>SUM('Resultater detaljert Bygg'!Q44:U44)</f>
        <v>0</v>
      </c>
      <c r="J42" s="582">
        <f>SUM('Resultater detaljert Bygg'!X44:AB44)</f>
        <v>0</v>
      </c>
      <c r="K42" s="584">
        <f>SUM('Resultater detaljert Bygg'!V44:W44)</f>
        <v>0</v>
      </c>
      <c r="L42" s="583">
        <f>'Resultater detaljert Bygg'!AC44</f>
        <v>0</v>
      </c>
      <c r="M42" s="583">
        <f>'Resultater detaljert Bygg'!AD44</f>
        <v>0</v>
      </c>
      <c r="N42" s="584">
        <f>SUM('Resultater detaljert Bygg'!AE44:AF44)</f>
        <v>0</v>
      </c>
    </row>
    <row r="43" spans="2:14">
      <c r="B43" s="339">
        <f>'Inndata Bygg'!B48</f>
        <v>0</v>
      </c>
      <c r="C43" s="340">
        <f>'Inndata Bygg'!C48</f>
        <v>0</v>
      </c>
      <c r="D43" s="340">
        <f>'Inndata Bygg'!D48</f>
        <v>0</v>
      </c>
      <c r="E43" s="340"/>
      <c r="F43" s="581">
        <f t="array" ref="F43">SUM(IFERROR(G43:N43,0))</f>
        <v>0</v>
      </c>
      <c r="G43" s="582">
        <f>'Inndata Bygg'!E48</f>
        <v>0</v>
      </c>
      <c r="H43" s="583">
        <f>SUM('Resultater detaljert Bygg'!N45:P45)</f>
        <v>0</v>
      </c>
      <c r="I43" s="584">
        <f>SUM('Resultater detaljert Bygg'!Q45:U45)</f>
        <v>0</v>
      </c>
      <c r="J43" s="582">
        <f>SUM('Resultater detaljert Bygg'!X45:AB45)</f>
        <v>0</v>
      </c>
      <c r="K43" s="584">
        <f>SUM('Resultater detaljert Bygg'!V45:W45)</f>
        <v>0</v>
      </c>
      <c r="L43" s="583">
        <f>'Resultater detaljert Bygg'!AC45</f>
        <v>0</v>
      </c>
      <c r="M43" s="583">
        <f>'Resultater detaljert Bygg'!AD45</f>
        <v>0</v>
      </c>
      <c r="N43" s="584">
        <f>SUM('Resultater detaljert Bygg'!AE45:AF45)</f>
        <v>0</v>
      </c>
    </row>
    <row r="44" spans="2:14">
      <c r="B44" s="339">
        <f>'Inndata Bygg'!B49</f>
        <v>0</v>
      </c>
      <c r="C44" s="340">
        <f>'Inndata Bygg'!C49</f>
        <v>0</v>
      </c>
      <c r="D44" s="340">
        <f>'Inndata Bygg'!D49</f>
        <v>0</v>
      </c>
      <c r="E44" s="340"/>
      <c r="F44" s="581">
        <f t="array" ref="F44">SUM(IFERROR(G44:N44,0))</f>
        <v>0</v>
      </c>
      <c r="G44" s="582">
        <f>'Inndata Bygg'!E49</f>
        <v>0</v>
      </c>
      <c r="H44" s="583">
        <f>SUM('Resultater detaljert Bygg'!N46:P46)</f>
        <v>0</v>
      </c>
      <c r="I44" s="584">
        <f>SUM('Resultater detaljert Bygg'!Q46:U46)</f>
        <v>0</v>
      </c>
      <c r="J44" s="582">
        <f>SUM('Resultater detaljert Bygg'!X46:AB46)</f>
        <v>0</v>
      </c>
      <c r="K44" s="584">
        <f>SUM('Resultater detaljert Bygg'!V46:W46)</f>
        <v>0</v>
      </c>
      <c r="L44" s="583">
        <f>'Resultater detaljert Bygg'!AC46</f>
        <v>0</v>
      </c>
      <c r="M44" s="583">
        <f>'Resultater detaljert Bygg'!AD46</f>
        <v>0</v>
      </c>
      <c r="N44" s="584">
        <f>SUM('Resultater detaljert Bygg'!AE46:AF46)</f>
        <v>0</v>
      </c>
    </row>
    <row r="45" spans="2:14">
      <c r="B45" s="339">
        <f>'Inndata Bygg'!B50</f>
        <v>0</v>
      </c>
      <c r="C45" s="340">
        <f>'Inndata Bygg'!C50</f>
        <v>0</v>
      </c>
      <c r="D45" s="340">
        <f>'Inndata Bygg'!D50</f>
        <v>0</v>
      </c>
      <c r="E45" s="340"/>
      <c r="F45" s="581">
        <f t="array" ref="F45">SUM(IFERROR(G45:N45,0))</f>
        <v>0</v>
      </c>
      <c r="G45" s="582">
        <f>'Inndata Bygg'!E50</f>
        <v>0</v>
      </c>
      <c r="H45" s="583">
        <f>SUM('Resultater detaljert Bygg'!N47:P47)</f>
        <v>0</v>
      </c>
      <c r="I45" s="584">
        <f>SUM('Resultater detaljert Bygg'!Q47:U47)</f>
        <v>0</v>
      </c>
      <c r="J45" s="582">
        <f>SUM('Resultater detaljert Bygg'!X47:AB47)</f>
        <v>0</v>
      </c>
      <c r="K45" s="584">
        <f>SUM('Resultater detaljert Bygg'!V47:W47)</f>
        <v>0</v>
      </c>
      <c r="L45" s="583">
        <f>'Resultater detaljert Bygg'!AC47</f>
        <v>0</v>
      </c>
      <c r="M45" s="583">
        <f>'Resultater detaljert Bygg'!AD47</f>
        <v>0</v>
      </c>
      <c r="N45" s="584">
        <f>SUM('Resultater detaljert Bygg'!AE47:AF47)</f>
        <v>0</v>
      </c>
    </row>
    <row r="46" spans="2:14">
      <c r="B46" s="339">
        <f>'Inndata Bygg'!B51</f>
        <v>0</v>
      </c>
      <c r="C46" s="340">
        <f>'Inndata Bygg'!C51</f>
        <v>0</v>
      </c>
      <c r="D46" s="340">
        <f>'Inndata Bygg'!D51</f>
        <v>0</v>
      </c>
      <c r="E46" s="340"/>
      <c r="F46" s="581">
        <f t="array" ref="F46">SUM(IFERROR(G46:N46,0))</f>
        <v>0</v>
      </c>
      <c r="G46" s="582">
        <f>'Inndata Bygg'!E51</f>
        <v>0</v>
      </c>
      <c r="H46" s="583">
        <f>SUM('Resultater detaljert Bygg'!N48:P48)</f>
        <v>0</v>
      </c>
      <c r="I46" s="584">
        <f>SUM('Resultater detaljert Bygg'!Q48:U48)</f>
        <v>0</v>
      </c>
      <c r="J46" s="582">
        <f>SUM('Resultater detaljert Bygg'!X48:AB48)</f>
        <v>0</v>
      </c>
      <c r="K46" s="584">
        <f>SUM('Resultater detaljert Bygg'!V48:W48)</f>
        <v>0</v>
      </c>
      <c r="L46" s="583">
        <f>'Resultater detaljert Bygg'!AC48</f>
        <v>0</v>
      </c>
      <c r="M46" s="583">
        <f>'Resultater detaljert Bygg'!AD48</f>
        <v>0</v>
      </c>
      <c r="N46" s="584">
        <f>SUM('Resultater detaljert Bygg'!AE48:AF48)</f>
        <v>0</v>
      </c>
    </row>
    <row r="47" spans="2:14">
      <c r="B47" s="339">
        <f>'Inndata Bygg'!B52</f>
        <v>0</v>
      </c>
      <c r="C47" s="340">
        <f>'Inndata Bygg'!C52</f>
        <v>0</v>
      </c>
      <c r="D47" s="340">
        <f>'Inndata Bygg'!D52</f>
        <v>0</v>
      </c>
      <c r="E47" s="340"/>
      <c r="F47" s="581">
        <f t="array" ref="F47">SUM(IFERROR(G47:N47,0))</f>
        <v>0</v>
      </c>
      <c r="G47" s="582">
        <f>'Inndata Bygg'!E52</f>
        <v>0</v>
      </c>
      <c r="H47" s="583">
        <f>SUM('Resultater detaljert Bygg'!N49:P49)</f>
        <v>0</v>
      </c>
      <c r="I47" s="584">
        <f>SUM('Resultater detaljert Bygg'!Q49:U49)</f>
        <v>0</v>
      </c>
      <c r="J47" s="582">
        <f>SUM('Resultater detaljert Bygg'!X49:AB49)</f>
        <v>0</v>
      </c>
      <c r="K47" s="584">
        <f>SUM('Resultater detaljert Bygg'!V49:W49)</f>
        <v>0</v>
      </c>
      <c r="L47" s="583">
        <f>'Resultater detaljert Bygg'!AC49</f>
        <v>0</v>
      </c>
      <c r="M47" s="583">
        <f>'Resultater detaljert Bygg'!AD49</f>
        <v>0</v>
      </c>
      <c r="N47" s="584">
        <f>SUM('Resultater detaljert Bygg'!AE49:AF49)</f>
        <v>0</v>
      </c>
    </row>
    <row r="48" spans="2:14">
      <c r="B48" s="339">
        <f>'Inndata Bygg'!B53</f>
        <v>0</v>
      </c>
      <c r="C48" s="340">
        <f>'Inndata Bygg'!C53</f>
        <v>0</v>
      </c>
      <c r="D48" s="340">
        <f>'Inndata Bygg'!D53</f>
        <v>0</v>
      </c>
      <c r="E48" s="340"/>
      <c r="F48" s="581">
        <f t="array" ref="F48">SUM(IFERROR(G48:N48,0))</f>
        <v>0</v>
      </c>
      <c r="G48" s="582">
        <f>'Inndata Bygg'!E53</f>
        <v>0</v>
      </c>
      <c r="H48" s="583">
        <f>SUM('Resultater detaljert Bygg'!N50:P50)</f>
        <v>0</v>
      </c>
      <c r="I48" s="584">
        <f>SUM('Resultater detaljert Bygg'!Q50:U50)</f>
        <v>0</v>
      </c>
      <c r="J48" s="582">
        <f>SUM('Resultater detaljert Bygg'!X50:AB50)</f>
        <v>0</v>
      </c>
      <c r="K48" s="584">
        <f>SUM('Resultater detaljert Bygg'!V50:W50)</f>
        <v>0</v>
      </c>
      <c r="L48" s="583">
        <f>'Resultater detaljert Bygg'!AC50</f>
        <v>0</v>
      </c>
      <c r="M48" s="583">
        <f>'Resultater detaljert Bygg'!AD50</f>
        <v>0</v>
      </c>
      <c r="N48" s="584">
        <f>SUM('Resultater detaljert Bygg'!AE50:AF50)</f>
        <v>0</v>
      </c>
    </row>
    <row r="49" spans="2:14">
      <c r="B49" s="339">
        <f>'Inndata Bygg'!B54</f>
        <v>0</v>
      </c>
      <c r="C49" s="340">
        <f>'Inndata Bygg'!C54</f>
        <v>0</v>
      </c>
      <c r="D49" s="340">
        <f>'Inndata Bygg'!D54</f>
        <v>0</v>
      </c>
      <c r="E49" s="340"/>
      <c r="F49" s="581">
        <f t="array" ref="F49">SUM(IFERROR(G49:N49,0))</f>
        <v>0</v>
      </c>
      <c r="G49" s="582">
        <f>'Inndata Bygg'!E54</f>
        <v>0</v>
      </c>
      <c r="H49" s="583">
        <f>SUM('Resultater detaljert Bygg'!N51:P51)</f>
        <v>0</v>
      </c>
      <c r="I49" s="584">
        <f>SUM('Resultater detaljert Bygg'!Q51:U51)</f>
        <v>0</v>
      </c>
      <c r="J49" s="582">
        <f>SUM('Resultater detaljert Bygg'!X51:AB51)</f>
        <v>0</v>
      </c>
      <c r="K49" s="584">
        <f>SUM('Resultater detaljert Bygg'!V51:W51)</f>
        <v>0</v>
      </c>
      <c r="L49" s="583">
        <f>'Resultater detaljert Bygg'!AC51</f>
        <v>0</v>
      </c>
      <c r="M49" s="583">
        <f>'Resultater detaljert Bygg'!AD51</f>
        <v>0</v>
      </c>
      <c r="N49" s="584">
        <f>SUM('Resultater detaljert Bygg'!AE51:AF51)</f>
        <v>0</v>
      </c>
    </row>
    <row r="50" spans="2:14">
      <c r="B50" s="339">
        <f>'Inndata Bygg'!B55</f>
        <v>0</v>
      </c>
      <c r="C50" s="340">
        <f>'Inndata Bygg'!C55</f>
        <v>0</v>
      </c>
      <c r="D50" s="340">
        <f>'Inndata Bygg'!D55</f>
        <v>0</v>
      </c>
      <c r="E50" s="340"/>
      <c r="F50" s="581">
        <f t="array" ref="F50">SUM(IFERROR(G50:N50,0))</f>
        <v>0</v>
      </c>
      <c r="G50" s="582">
        <f>'Inndata Bygg'!E55</f>
        <v>0</v>
      </c>
      <c r="H50" s="583">
        <f>SUM('Resultater detaljert Bygg'!N52:P52)</f>
        <v>0</v>
      </c>
      <c r="I50" s="584">
        <f>SUM('Resultater detaljert Bygg'!Q52:U52)</f>
        <v>0</v>
      </c>
      <c r="J50" s="582">
        <f>SUM('Resultater detaljert Bygg'!X52:AB52)</f>
        <v>0</v>
      </c>
      <c r="K50" s="584">
        <f>SUM('Resultater detaljert Bygg'!V52:W52)</f>
        <v>0</v>
      </c>
      <c r="L50" s="583">
        <f>'Resultater detaljert Bygg'!AC52</f>
        <v>0</v>
      </c>
      <c r="M50" s="583">
        <f>'Resultater detaljert Bygg'!AD52</f>
        <v>0</v>
      </c>
      <c r="N50" s="584">
        <f>SUM('Resultater detaljert Bygg'!AE52:AF52)</f>
        <v>0</v>
      </c>
    </row>
    <row r="51" spans="2:14">
      <c r="B51" s="339">
        <f>'Inndata Bygg'!B56</f>
        <v>0</v>
      </c>
      <c r="C51" s="340">
        <f>'Inndata Bygg'!C56</f>
        <v>0</v>
      </c>
      <c r="D51" s="340">
        <f>'Inndata Bygg'!D56</f>
        <v>0</v>
      </c>
      <c r="E51" s="340"/>
      <c r="F51" s="581">
        <f t="array" ref="F51">SUM(IFERROR(G51:N51,0))</f>
        <v>0</v>
      </c>
      <c r="G51" s="582">
        <f>'Inndata Bygg'!E56</f>
        <v>0</v>
      </c>
      <c r="H51" s="583">
        <f>SUM('Resultater detaljert Bygg'!N53:P53)</f>
        <v>0</v>
      </c>
      <c r="I51" s="584">
        <f>SUM('Resultater detaljert Bygg'!Q53:U53)</f>
        <v>0</v>
      </c>
      <c r="J51" s="582">
        <f>SUM('Resultater detaljert Bygg'!X53:AB53)</f>
        <v>0</v>
      </c>
      <c r="K51" s="584">
        <f>SUM('Resultater detaljert Bygg'!V53:W53)</f>
        <v>0</v>
      </c>
      <c r="L51" s="583">
        <f>'Resultater detaljert Bygg'!AC53</f>
        <v>0</v>
      </c>
      <c r="M51" s="583">
        <f>'Resultater detaljert Bygg'!AD53</f>
        <v>0</v>
      </c>
      <c r="N51" s="584">
        <f>SUM('Resultater detaljert Bygg'!AE53:AF53)</f>
        <v>0</v>
      </c>
    </row>
    <row r="52" spans="2:14">
      <c r="B52" s="339">
        <f>'Inndata Bygg'!B57</f>
        <v>0</v>
      </c>
      <c r="C52" s="340">
        <f>'Inndata Bygg'!C57</f>
        <v>0</v>
      </c>
      <c r="D52" s="340">
        <f>'Inndata Bygg'!D57</f>
        <v>0</v>
      </c>
      <c r="E52" s="340"/>
      <c r="F52" s="581">
        <f t="array" ref="F52">SUM(IFERROR(G52:N52,0))</f>
        <v>0</v>
      </c>
      <c r="G52" s="582">
        <f>'Inndata Bygg'!E57</f>
        <v>0</v>
      </c>
      <c r="H52" s="583">
        <f>SUM('Resultater detaljert Bygg'!N54:P54)</f>
        <v>0</v>
      </c>
      <c r="I52" s="584">
        <f>SUM('Resultater detaljert Bygg'!Q54:U54)</f>
        <v>0</v>
      </c>
      <c r="J52" s="582">
        <f>SUM('Resultater detaljert Bygg'!X54:AB54)</f>
        <v>0</v>
      </c>
      <c r="K52" s="584">
        <f>SUM('Resultater detaljert Bygg'!V54:W54)</f>
        <v>0</v>
      </c>
      <c r="L52" s="583">
        <f>'Resultater detaljert Bygg'!AC54</f>
        <v>0</v>
      </c>
      <c r="M52" s="583">
        <f>'Resultater detaljert Bygg'!AD54</f>
        <v>0</v>
      </c>
      <c r="N52" s="584">
        <f>SUM('Resultater detaljert Bygg'!AE54:AF54)</f>
        <v>0</v>
      </c>
    </row>
    <row r="53" spans="2:14">
      <c r="B53" s="339">
        <f>'Inndata Bygg'!B58</f>
        <v>0</v>
      </c>
      <c r="C53" s="340">
        <f>'Inndata Bygg'!C58</f>
        <v>0</v>
      </c>
      <c r="D53" s="340">
        <f>'Inndata Bygg'!D58</f>
        <v>0</v>
      </c>
      <c r="E53" s="340"/>
      <c r="F53" s="581">
        <f t="array" ref="F53">SUM(IFERROR(G53:N53,0))</f>
        <v>0</v>
      </c>
      <c r="G53" s="582">
        <f>'Inndata Bygg'!E58</f>
        <v>0</v>
      </c>
      <c r="H53" s="583">
        <f>SUM('Resultater detaljert Bygg'!N55:P55)</f>
        <v>0</v>
      </c>
      <c r="I53" s="584">
        <f>SUM('Resultater detaljert Bygg'!Q55:U55)</f>
        <v>0</v>
      </c>
      <c r="J53" s="582">
        <f>SUM('Resultater detaljert Bygg'!X55:AB55)</f>
        <v>0</v>
      </c>
      <c r="K53" s="584">
        <f>SUM('Resultater detaljert Bygg'!V55:W55)</f>
        <v>0</v>
      </c>
      <c r="L53" s="583">
        <f>'Resultater detaljert Bygg'!AC55</f>
        <v>0</v>
      </c>
      <c r="M53" s="583">
        <f>'Resultater detaljert Bygg'!AD55</f>
        <v>0</v>
      </c>
      <c r="N53" s="584">
        <f>SUM('Resultater detaljert Bygg'!AE55:AF55)</f>
        <v>0</v>
      </c>
    </row>
    <row r="54" spans="2:14">
      <c r="B54" s="339">
        <f>'Inndata Bygg'!B59</f>
        <v>0</v>
      </c>
      <c r="C54" s="340">
        <f>'Inndata Bygg'!C59</f>
        <v>0</v>
      </c>
      <c r="D54" s="340">
        <f>'Inndata Bygg'!D59</f>
        <v>0</v>
      </c>
      <c r="E54" s="340"/>
      <c r="F54" s="581">
        <f t="array" ref="F54">SUM(IFERROR(G54:N54,0))</f>
        <v>0</v>
      </c>
      <c r="G54" s="582">
        <f>'Inndata Bygg'!E59</f>
        <v>0</v>
      </c>
      <c r="H54" s="583">
        <f>SUM('Resultater detaljert Bygg'!N56:P56)</f>
        <v>0</v>
      </c>
      <c r="I54" s="584">
        <f>SUM('Resultater detaljert Bygg'!Q56:U56)</f>
        <v>0</v>
      </c>
      <c r="J54" s="582">
        <f>SUM('Resultater detaljert Bygg'!X56:AB56)</f>
        <v>0</v>
      </c>
      <c r="K54" s="584">
        <f>SUM('Resultater detaljert Bygg'!V56:W56)</f>
        <v>0</v>
      </c>
      <c r="L54" s="583">
        <f>'Resultater detaljert Bygg'!AC56</f>
        <v>0</v>
      </c>
      <c r="M54" s="583">
        <f>'Resultater detaljert Bygg'!AD56</f>
        <v>0</v>
      </c>
      <c r="N54" s="584">
        <f>SUM('Resultater detaljert Bygg'!AE56:AF56)</f>
        <v>0</v>
      </c>
    </row>
    <row r="55" spans="2:14">
      <c r="B55" s="339">
        <f>'Inndata Bygg'!B60</f>
        <v>0</v>
      </c>
      <c r="C55" s="340">
        <f>'Inndata Bygg'!C60</f>
        <v>0</v>
      </c>
      <c r="D55" s="340">
        <f>'Inndata Bygg'!D60</f>
        <v>0</v>
      </c>
      <c r="E55" s="340"/>
      <c r="F55" s="581">
        <f t="array" ref="F55">SUM(IFERROR(G55:N55,0))</f>
        <v>0</v>
      </c>
      <c r="G55" s="582">
        <f>'Inndata Bygg'!E60</f>
        <v>0</v>
      </c>
      <c r="H55" s="583">
        <f>SUM('Resultater detaljert Bygg'!N57:P57)</f>
        <v>0</v>
      </c>
      <c r="I55" s="584">
        <f>SUM('Resultater detaljert Bygg'!Q57:U57)</f>
        <v>0</v>
      </c>
      <c r="J55" s="582">
        <f>SUM('Resultater detaljert Bygg'!X57:AB57)</f>
        <v>0</v>
      </c>
      <c r="K55" s="584">
        <f>SUM('Resultater detaljert Bygg'!V57:W57)</f>
        <v>0</v>
      </c>
      <c r="L55" s="583">
        <f>'Resultater detaljert Bygg'!AC57</f>
        <v>0</v>
      </c>
      <c r="M55" s="583">
        <f>'Resultater detaljert Bygg'!AD57</f>
        <v>0</v>
      </c>
      <c r="N55" s="584">
        <f>SUM('Resultater detaljert Bygg'!AE57:AF57)</f>
        <v>0</v>
      </c>
    </row>
    <row r="56" spans="2:14">
      <c r="B56" s="339">
        <f>'Inndata Bygg'!B61</f>
        <v>0</v>
      </c>
      <c r="C56" s="340">
        <f>'Inndata Bygg'!C61</f>
        <v>0</v>
      </c>
      <c r="D56" s="340">
        <f>'Inndata Bygg'!D61</f>
        <v>0</v>
      </c>
      <c r="E56" s="340"/>
      <c r="F56" s="581">
        <f t="array" ref="F56">SUM(IFERROR(G56:N56,0))</f>
        <v>0</v>
      </c>
      <c r="G56" s="582">
        <f>'Inndata Bygg'!E61</f>
        <v>0</v>
      </c>
      <c r="H56" s="583">
        <f>SUM('Resultater detaljert Bygg'!N58:P58)</f>
        <v>0</v>
      </c>
      <c r="I56" s="584">
        <f>SUM('Resultater detaljert Bygg'!Q58:U58)</f>
        <v>0</v>
      </c>
      <c r="J56" s="582">
        <f>SUM('Resultater detaljert Bygg'!X58:AB58)</f>
        <v>0</v>
      </c>
      <c r="K56" s="584">
        <f>SUM('Resultater detaljert Bygg'!V58:W58)</f>
        <v>0</v>
      </c>
      <c r="L56" s="583">
        <f>'Resultater detaljert Bygg'!AC58</f>
        <v>0</v>
      </c>
      <c r="M56" s="583">
        <f>'Resultater detaljert Bygg'!AD58</f>
        <v>0</v>
      </c>
      <c r="N56" s="584">
        <f>SUM('Resultater detaljert Bygg'!AE58:AF58)</f>
        <v>0</v>
      </c>
    </row>
    <row r="57" spans="2:14">
      <c r="B57" s="339">
        <f>'Inndata Bygg'!B62</f>
        <v>0</v>
      </c>
      <c r="C57" s="340">
        <f>'Inndata Bygg'!C62</f>
        <v>0</v>
      </c>
      <c r="D57" s="340">
        <f>'Inndata Bygg'!D62</f>
        <v>0</v>
      </c>
      <c r="E57" s="340"/>
      <c r="F57" s="581">
        <f t="array" ref="F57">SUM(IFERROR(G57:N57,0))</f>
        <v>0</v>
      </c>
      <c r="G57" s="582">
        <f>'Inndata Bygg'!E62</f>
        <v>0</v>
      </c>
      <c r="H57" s="583">
        <f>SUM('Resultater detaljert Bygg'!N59:P59)</f>
        <v>0</v>
      </c>
      <c r="I57" s="584">
        <f>SUM('Resultater detaljert Bygg'!Q59:U59)</f>
        <v>0</v>
      </c>
      <c r="J57" s="582">
        <f>SUM('Resultater detaljert Bygg'!X59:AB59)</f>
        <v>0</v>
      </c>
      <c r="K57" s="584">
        <f>SUM('Resultater detaljert Bygg'!V59:W59)</f>
        <v>0</v>
      </c>
      <c r="L57" s="583">
        <f>'Resultater detaljert Bygg'!AC59</f>
        <v>0</v>
      </c>
      <c r="M57" s="583">
        <f>'Resultater detaljert Bygg'!AD59</f>
        <v>0</v>
      </c>
      <c r="N57" s="584">
        <f>SUM('Resultater detaljert Bygg'!AE59:AF59)</f>
        <v>0</v>
      </c>
    </row>
    <row r="58" spans="2:14">
      <c r="B58" s="339">
        <f>'Inndata Bygg'!B63</f>
        <v>0</v>
      </c>
      <c r="C58" s="340">
        <f>'Inndata Bygg'!C63</f>
        <v>0</v>
      </c>
      <c r="D58" s="340">
        <f>'Inndata Bygg'!D63</f>
        <v>0</v>
      </c>
      <c r="E58" s="340"/>
      <c r="F58" s="581">
        <f t="array" ref="F58">SUM(IFERROR(G58:N58,0))</f>
        <v>0</v>
      </c>
      <c r="G58" s="582">
        <f>'Inndata Bygg'!E63</f>
        <v>0</v>
      </c>
      <c r="H58" s="583">
        <f>SUM('Resultater detaljert Bygg'!N60:P60)</f>
        <v>0</v>
      </c>
      <c r="I58" s="584">
        <f>SUM('Resultater detaljert Bygg'!Q60:U60)</f>
        <v>0</v>
      </c>
      <c r="J58" s="582">
        <f>SUM('Resultater detaljert Bygg'!X60:AB60)</f>
        <v>0</v>
      </c>
      <c r="K58" s="584">
        <f>SUM('Resultater detaljert Bygg'!V60:W60)</f>
        <v>0</v>
      </c>
      <c r="L58" s="583">
        <f>'Resultater detaljert Bygg'!AC60</f>
        <v>0</v>
      </c>
      <c r="M58" s="583">
        <f>'Resultater detaljert Bygg'!AD60</f>
        <v>0</v>
      </c>
      <c r="N58" s="584">
        <f>SUM('Resultater detaljert Bygg'!AE60:AF60)</f>
        <v>0</v>
      </c>
    </row>
    <row r="59" spans="2:14">
      <c r="B59" s="339">
        <f>'Inndata Bygg'!B64</f>
        <v>0</v>
      </c>
      <c r="C59" s="340">
        <f>'Inndata Bygg'!C64</f>
        <v>0</v>
      </c>
      <c r="D59" s="340">
        <f>'Inndata Bygg'!D64</f>
        <v>0</v>
      </c>
      <c r="E59" s="340"/>
      <c r="F59" s="581">
        <f t="array" ref="F59">SUM(IFERROR(G59:N59,0))</f>
        <v>0</v>
      </c>
      <c r="G59" s="582">
        <f>'Inndata Bygg'!E64</f>
        <v>0</v>
      </c>
      <c r="H59" s="583">
        <f>SUM('Resultater detaljert Bygg'!N61:P61)</f>
        <v>0</v>
      </c>
      <c r="I59" s="584">
        <f>SUM('Resultater detaljert Bygg'!Q61:U61)</f>
        <v>0</v>
      </c>
      <c r="J59" s="582">
        <f>SUM('Resultater detaljert Bygg'!X61:AB61)</f>
        <v>0</v>
      </c>
      <c r="K59" s="584">
        <f>SUM('Resultater detaljert Bygg'!V61:W61)</f>
        <v>0</v>
      </c>
      <c r="L59" s="583">
        <f>'Resultater detaljert Bygg'!AC61</f>
        <v>0</v>
      </c>
      <c r="M59" s="583">
        <f>'Resultater detaljert Bygg'!AD61</f>
        <v>0</v>
      </c>
      <c r="N59" s="584">
        <f>SUM('Resultater detaljert Bygg'!AE61:AF61)</f>
        <v>0</v>
      </c>
    </row>
    <row r="60" spans="2:14">
      <c r="B60" s="339">
        <f>'Inndata Bygg'!B65</f>
        <v>0</v>
      </c>
      <c r="C60" s="340">
        <f>'Inndata Bygg'!C65</f>
        <v>0</v>
      </c>
      <c r="D60" s="340">
        <f>'Inndata Bygg'!D65</f>
        <v>0</v>
      </c>
      <c r="E60" s="340"/>
      <c r="F60" s="581">
        <f t="array" ref="F60">SUM(IFERROR(G60:N60,0))</f>
        <v>0</v>
      </c>
      <c r="G60" s="582">
        <f>'Inndata Bygg'!E65</f>
        <v>0</v>
      </c>
      <c r="H60" s="583">
        <f>SUM('Resultater detaljert Bygg'!N62:P62)</f>
        <v>0</v>
      </c>
      <c r="I60" s="584">
        <f>SUM('Resultater detaljert Bygg'!Q62:U62)</f>
        <v>0</v>
      </c>
      <c r="J60" s="582">
        <f>SUM('Resultater detaljert Bygg'!X62:AB62)</f>
        <v>0</v>
      </c>
      <c r="K60" s="584">
        <f>SUM('Resultater detaljert Bygg'!V62:W62)</f>
        <v>0</v>
      </c>
      <c r="L60" s="583">
        <f>'Resultater detaljert Bygg'!AC62</f>
        <v>0</v>
      </c>
      <c r="M60" s="583">
        <f>'Resultater detaljert Bygg'!AD62</f>
        <v>0</v>
      </c>
      <c r="N60" s="584">
        <f>SUM('Resultater detaljert Bygg'!AE62:AF62)</f>
        <v>0</v>
      </c>
    </row>
    <row r="61" spans="2:14">
      <c r="B61" s="339">
        <f>'Inndata Bygg'!B66</f>
        <v>0</v>
      </c>
      <c r="C61" s="340">
        <f>'Inndata Bygg'!C66</f>
        <v>0</v>
      </c>
      <c r="D61" s="340">
        <f>'Inndata Bygg'!D66</f>
        <v>0</v>
      </c>
      <c r="E61" s="340"/>
      <c r="F61" s="581">
        <f t="array" ref="F61">SUM(IFERROR(G61:N61,0))</f>
        <v>0</v>
      </c>
      <c r="G61" s="582">
        <f>'Inndata Bygg'!E66</f>
        <v>0</v>
      </c>
      <c r="H61" s="583">
        <f>SUM('Resultater detaljert Bygg'!N63:P63)</f>
        <v>0</v>
      </c>
      <c r="I61" s="584">
        <f>SUM('Resultater detaljert Bygg'!Q63:U63)</f>
        <v>0</v>
      </c>
      <c r="J61" s="582">
        <f>SUM('Resultater detaljert Bygg'!X63:AB63)</f>
        <v>0</v>
      </c>
      <c r="K61" s="584">
        <f>SUM('Resultater detaljert Bygg'!V63:W63)</f>
        <v>0</v>
      </c>
      <c r="L61" s="583">
        <f>'Resultater detaljert Bygg'!AC63</f>
        <v>0</v>
      </c>
      <c r="M61" s="583">
        <f>'Resultater detaljert Bygg'!AD63</f>
        <v>0</v>
      </c>
      <c r="N61" s="584">
        <f>SUM('Resultater detaljert Bygg'!AE63:AF63)</f>
        <v>0</v>
      </c>
    </row>
    <row r="62" spans="2:14">
      <c r="B62" s="339">
        <f>'Inndata Bygg'!B67</f>
        <v>0</v>
      </c>
      <c r="C62" s="340">
        <f>'Inndata Bygg'!C67</f>
        <v>0</v>
      </c>
      <c r="D62" s="340">
        <f>'Inndata Bygg'!D67</f>
        <v>0</v>
      </c>
      <c r="E62" s="340"/>
      <c r="F62" s="581">
        <f t="array" ref="F62">SUM(IFERROR(G62:N62,0))</f>
        <v>0</v>
      </c>
      <c r="G62" s="582">
        <f>'Inndata Bygg'!E67</f>
        <v>0</v>
      </c>
      <c r="H62" s="583">
        <f>SUM('Resultater detaljert Bygg'!N64:P64)</f>
        <v>0</v>
      </c>
      <c r="I62" s="584">
        <f>SUM('Resultater detaljert Bygg'!Q64:U64)</f>
        <v>0</v>
      </c>
      <c r="J62" s="582">
        <f>SUM('Resultater detaljert Bygg'!X64:AB64)</f>
        <v>0</v>
      </c>
      <c r="K62" s="584">
        <f>SUM('Resultater detaljert Bygg'!V64:W64)</f>
        <v>0</v>
      </c>
      <c r="L62" s="583">
        <f>'Resultater detaljert Bygg'!AC64</f>
        <v>0</v>
      </c>
      <c r="M62" s="583">
        <f>'Resultater detaljert Bygg'!AD64</f>
        <v>0</v>
      </c>
      <c r="N62" s="584">
        <f>SUM('Resultater detaljert Bygg'!AE64:AF64)</f>
        <v>0</v>
      </c>
    </row>
    <row r="63" spans="2:14">
      <c r="B63" s="339">
        <f>'Inndata Bygg'!B68</f>
        <v>0</v>
      </c>
      <c r="C63" s="340">
        <f>'Inndata Bygg'!C68</f>
        <v>0</v>
      </c>
      <c r="D63" s="340">
        <f>'Inndata Bygg'!D68</f>
        <v>0</v>
      </c>
      <c r="E63" s="340"/>
      <c r="F63" s="581">
        <f t="array" ref="F63">SUM(IFERROR(G63:N63,0))</f>
        <v>0</v>
      </c>
      <c r="G63" s="582">
        <f>'Inndata Bygg'!E68</f>
        <v>0</v>
      </c>
      <c r="H63" s="583">
        <f>SUM('Resultater detaljert Bygg'!N65:P65)</f>
        <v>0</v>
      </c>
      <c r="I63" s="584">
        <f>SUM('Resultater detaljert Bygg'!Q65:U65)</f>
        <v>0</v>
      </c>
      <c r="J63" s="582">
        <f>SUM('Resultater detaljert Bygg'!X65:AB65)</f>
        <v>0</v>
      </c>
      <c r="K63" s="584">
        <f>SUM('Resultater detaljert Bygg'!V65:W65)</f>
        <v>0</v>
      </c>
      <c r="L63" s="583">
        <f>'Resultater detaljert Bygg'!AC65</f>
        <v>0</v>
      </c>
      <c r="M63" s="583">
        <f>'Resultater detaljert Bygg'!AD65</f>
        <v>0</v>
      </c>
      <c r="N63" s="584">
        <f>SUM('Resultater detaljert Bygg'!AE65:AF65)</f>
        <v>0</v>
      </c>
    </row>
    <row r="64" spans="2:14">
      <c r="B64" s="339">
        <f>'Inndata Bygg'!B69</f>
        <v>0</v>
      </c>
      <c r="C64" s="340">
        <f>'Inndata Bygg'!C69</f>
        <v>0</v>
      </c>
      <c r="D64" s="340">
        <f>'Inndata Bygg'!D69</f>
        <v>0</v>
      </c>
      <c r="E64" s="340"/>
      <c r="F64" s="581">
        <f t="array" ref="F64">SUM(IFERROR(G64:N64,0))</f>
        <v>0</v>
      </c>
      <c r="G64" s="582">
        <f>'Inndata Bygg'!E69</f>
        <v>0</v>
      </c>
      <c r="H64" s="583">
        <f>SUM('Resultater detaljert Bygg'!N66:P66)</f>
        <v>0</v>
      </c>
      <c r="I64" s="584">
        <f>SUM('Resultater detaljert Bygg'!Q66:U66)</f>
        <v>0</v>
      </c>
      <c r="J64" s="582">
        <f>SUM('Resultater detaljert Bygg'!X66:AB66)</f>
        <v>0</v>
      </c>
      <c r="K64" s="584">
        <f>SUM('Resultater detaljert Bygg'!V66:W66)</f>
        <v>0</v>
      </c>
      <c r="L64" s="583">
        <f>'Resultater detaljert Bygg'!AC66</f>
        <v>0</v>
      </c>
      <c r="M64" s="583">
        <f>'Resultater detaljert Bygg'!AD66</f>
        <v>0</v>
      </c>
      <c r="N64" s="584">
        <f>SUM('Resultater detaljert Bygg'!AE66:AF66)</f>
        <v>0</v>
      </c>
    </row>
    <row r="65" spans="2:14">
      <c r="B65" s="339">
        <f>'Inndata Bygg'!B70</f>
        <v>0</v>
      </c>
      <c r="C65" s="340">
        <f>'Inndata Bygg'!C70</f>
        <v>0</v>
      </c>
      <c r="D65" s="340">
        <f>'Inndata Bygg'!D70</f>
        <v>0</v>
      </c>
      <c r="E65" s="340"/>
      <c r="F65" s="581">
        <f t="array" ref="F65">SUM(IFERROR(G65:N65,0))</f>
        <v>0</v>
      </c>
      <c r="G65" s="582">
        <f>'Inndata Bygg'!E70</f>
        <v>0</v>
      </c>
      <c r="H65" s="583">
        <f>SUM('Resultater detaljert Bygg'!N67:P67)</f>
        <v>0</v>
      </c>
      <c r="I65" s="584">
        <f>SUM('Resultater detaljert Bygg'!Q67:U67)</f>
        <v>0</v>
      </c>
      <c r="J65" s="582">
        <f>SUM('Resultater detaljert Bygg'!X67:AB67)</f>
        <v>0</v>
      </c>
      <c r="K65" s="584">
        <f>SUM('Resultater detaljert Bygg'!V67:W67)</f>
        <v>0</v>
      </c>
      <c r="L65" s="583">
        <f>'Resultater detaljert Bygg'!AC67</f>
        <v>0</v>
      </c>
      <c r="M65" s="583">
        <f>'Resultater detaljert Bygg'!AD67</f>
        <v>0</v>
      </c>
      <c r="N65" s="584">
        <f>SUM('Resultater detaljert Bygg'!AE67:AF67)</f>
        <v>0</v>
      </c>
    </row>
    <row r="66" spans="2:14">
      <c r="B66" s="339">
        <f>'Inndata Bygg'!B71</f>
        <v>0</v>
      </c>
      <c r="C66" s="340">
        <f>'Inndata Bygg'!C71</f>
        <v>0</v>
      </c>
      <c r="D66" s="340">
        <f>'Inndata Bygg'!D71</f>
        <v>0</v>
      </c>
      <c r="E66" s="340"/>
      <c r="F66" s="581">
        <f t="array" ref="F66">SUM(IFERROR(G66:N66,0))</f>
        <v>0</v>
      </c>
      <c r="G66" s="582">
        <f>'Inndata Bygg'!E71</f>
        <v>0</v>
      </c>
      <c r="H66" s="583">
        <f>SUM('Resultater detaljert Bygg'!N68:P68)</f>
        <v>0</v>
      </c>
      <c r="I66" s="584">
        <f>SUM('Resultater detaljert Bygg'!Q68:U68)</f>
        <v>0</v>
      </c>
      <c r="J66" s="582">
        <f>SUM('Resultater detaljert Bygg'!X68:AB68)</f>
        <v>0</v>
      </c>
      <c r="K66" s="584">
        <f>SUM('Resultater detaljert Bygg'!V68:W68)</f>
        <v>0</v>
      </c>
      <c r="L66" s="583">
        <f>'Resultater detaljert Bygg'!AC68</f>
        <v>0</v>
      </c>
      <c r="M66" s="583">
        <f>'Resultater detaljert Bygg'!AD68</f>
        <v>0</v>
      </c>
      <c r="N66" s="584">
        <f>SUM('Resultater detaljert Bygg'!AE68:AF68)</f>
        <v>0</v>
      </c>
    </row>
    <row r="67" spans="2:14">
      <c r="B67" s="339">
        <f>'Inndata Bygg'!B72</f>
        <v>0</v>
      </c>
      <c r="C67" s="340">
        <f>'Inndata Bygg'!C72</f>
        <v>0</v>
      </c>
      <c r="D67" s="340">
        <f>'Inndata Bygg'!D72</f>
        <v>0</v>
      </c>
      <c r="E67" s="340"/>
      <c r="F67" s="581">
        <f t="array" ref="F67">SUM(IFERROR(G67:N67,0))</f>
        <v>0</v>
      </c>
      <c r="G67" s="582">
        <f>'Inndata Bygg'!E72</f>
        <v>0</v>
      </c>
      <c r="H67" s="583">
        <f>SUM('Resultater detaljert Bygg'!N69:P69)</f>
        <v>0</v>
      </c>
      <c r="I67" s="584">
        <f>SUM('Resultater detaljert Bygg'!Q69:U69)</f>
        <v>0</v>
      </c>
      <c r="J67" s="582">
        <f>SUM('Resultater detaljert Bygg'!X69:AB69)</f>
        <v>0</v>
      </c>
      <c r="K67" s="584">
        <f>SUM('Resultater detaljert Bygg'!V69:W69)</f>
        <v>0</v>
      </c>
      <c r="L67" s="583">
        <f>'Resultater detaljert Bygg'!AC69</f>
        <v>0</v>
      </c>
      <c r="M67" s="583">
        <f>'Resultater detaljert Bygg'!AD69</f>
        <v>0</v>
      </c>
      <c r="N67" s="584">
        <f>SUM('Resultater detaljert Bygg'!AE69:AF69)</f>
        <v>0</v>
      </c>
    </row>
    <row r="68" spans="2:14">
      <c r="B68" s="339">
        <f>'Inndata Bygg'!B73</f>
        <v>0</v>
      </c>
      <c r="C68" s="340">
        <f>'Inndata Bygg'!C73</f>
        <v>0</v>
      </c>
      <c r="D68" s="340">
        <f>'Inndata Bygg'!D73</f>
        <v>0</v>
      </c>
      <c r="E68" s="340"/>
      <c r="F68" s="581">
        <f t="array" ref="F68">SUM(IFERROR(G68:N68,0))</f>
        <v>0</v>
      </c>
      <c r="G68" s="582">
        <f>'Inndata Bygg'!E73</f>
        <v>0</v>
      </c>
      <c r="H68" s="583">
        <f>SUM('Resultater detaljert Bygg'!N70:P70)</f>
        <v>0</v>
      </c>
      <c r="I68" s="584">
        <f>SUM('Resultater detaljert Bygg'!Q70:U70)</f>
        <v>0</v>
      </c>
      <c r="J68" s="582">
        <f>SUM('Resultater detaljert Bygg'!X70:AB70)</f>
        <v>0</v>
      </c>
      <c r="K68" s="584">
        <f>SUM('Resultater detaljert Bygg'!V70:W70)</f>
        <v>0</v>
      </c>
      <c r="L68" s="583">
        <f>'Resultater detaljert Bygg'!AC70</f>
        <v>0</v>
      </c>
      <c r="M68" s="583">
        <f>'Resultater detaljert Bygg'!AD70</f>
        <v>0</v>
      </c>
      <c r="N68" s="584">
        <f>SUM('Resultater detaljert Bygg'!AE70:AF70)</f>
        <v>0</v>
      </c>
    </row>
    <row r="69" spans="2:14">
      <c r="B69" s="339">
        <f>'Inndata Bygg'!B74</f>
        <v>0</v>
      </c>
      <c r="C69" s="340">
        <f>'Inndata Bygg'!C74</f>
        <v>0</v>
      </c>
      <c r="D69" s="340">
        <f>'Inndata Bygg'!D74</f>
        <v>0</v>
      </c>
      <c r="E69" s="340"/>
      <c r="F69" s="581">
        <f t="array" ref="F69">SUM(IFERROR(G69:N69,0))</f>
        <v>0</v>
      </c>
      <c r="G69" s="582">
        <f>'Inndata Bygg'!E74</f>
        <v>0</v>
      </c>
      <c r="H69" s="583">
        <f>SUM('Resultater detaljert Bygg'!N71:P71)</f>
        <v>0</v>
      </c>
      <c r="I69" s="584">
        <f>SUM('Resultater detaljert Bygg'!Q71:U71)</f>
        <v>0</v>
      </c>
      <c r="J69" s="582">
        <f>SUM('Resultater detaljert Bygg'!X71:AB71)</f>
        <v>0</v>
      </c>
      <c r="K69" s="584">
        <f>SUM('Resultater detaljert Bygg'!V71:W71)</f>
        <v>0</v>
      </c>
      <c r="L69" s="583">
        <f>'Resultater detaljert Bygg'!AC71</f>
        <v>0</v>
      </c>
      <c r="M69" s="583">
        <f>'Resultater detaljert Bygg'!AD71</f>
        <v>0</v>
      </c>
      <c r="N69" s="584">
        <f>SUM('Resultater detaljert Bygg'!AE71:AF71)</f>
        <v>0</v>
      </c>
    </row>
    <row r="70" spans="2:14">
      <c r="B70" s="339">
        <f>'Inndata Bygg'!B75</f>
        <v>0</v>
      </c>
      <c r="C70" s="340">
        <f>'Inndata Bygg'!C75</f>
        <v>0</v>
      </c>
      <c r="D70" s="340">
        <f>'Inndata Bygg'!D75</f>
        <v>0</v>
      </c>
      <c r="E70" s="340"/>
      <c r="F70" s="581">
        <f t="array" ref="F70">SUM(IFERROR(G70:N70,0))</f>
        <v>0</v>
      </c>
      <c r="G70" s="582">
        <f>'Inndata Bygg'!E75</f>
        <v>0</v>
      </c>
      <c r="H70" s="583">
        <f>SUM('Resultater detaljert Bygg'!N72:P72)</f>
        <v>0</v>
      </c>
      <c r="I70" s="584">
        <f>SUM('Resultater detaljert Bygg'!Q72:U72)</f>
        <v>0</v>
      </c>
      <c r="J70" s="582">
        <f>SUM('Resultater detaljert Bygg'!X72:AB72)</f>
        <v>0</v>
      </c>
      <c r="K70" s="584">
        <f>SUM('Resultater detaljert Bygg'!V72:W72)</f>
        <v>0</v>
      </c>
      <c r="L70" s="583">
        <f>'Resultater detaljert Bygg'!AC72</f>
        <v>0</v>
      </c>
      <c r="M70" s="583">
        <f>'Resultater detaljert Bygg'!AD72</f>
        <v>0</v>
      </c>
      <c r="N70" s="584">
        <f>SUM('Resultater detaljert Bygg'!AE72:AF72)</f>
        <v>0</v>
      </c>
    </row>
    <row r="71" spans="2:14">
      <c r="B71" s="339">
        <f>'Inndata Bygg'!B76</f>
        <v>0</v>
      </c>
      <c r="C71" s="340">
        <f>'Inndata Bygg'!C76</f>
        <v>0</v>
      </c>
      <c r="D71" s="340">
        <f>'Inndata Bygg'!D76</f>
        <v>0</v>
      </c>
      <c r="E71" s="340"/>
      <c r="F71" s="581">
        <f t="array" ref="F71">SUM(IFERROR(G71:N71,0))</f>
        <v>0</v>
      </c>
      <c r="G71" s="582">
        <f>'Inndata Bygg'!E76</f>
        <v>0</v>
      </c>
      <c r="H71" s="583">
        <f>SUM('Resultater detaljert Bygg'!N73:P73)</f>
        <v>0</v>
      </c>
      <c r="I71" s="584">
        <f>SUM('Resultater detaljert Bygg'!Q73:U73)</f>
        <v>0</v>
      </c>
      <c r="J71" s="582">
        <f>SUM('Resultater detaljert Bygg'!X73:AB73)</f>
        <v>0</v>
      </c>
      <c r="K71" s="584">
        <f>SUM('Resultater detaljert Bygg'!V73:W73)</f>
        <v>0</v>
      </c>
      <c r="L71" s="583">
        <f>'Resultater detaljert Bygg'!AC73</f>
        <v>0</v>
      </c>
      <c r="M71" s="583">
        <f>'Resultater detaljert Bygg'!AD73</f>
        <v>0</v>
      </c>
      <c r="N71" s="584">
        <f>SUM('Resultater detaljert Bygg'!AE73:AF73)</f>
        <v>0</v>
      </c>
    </row>
    <row r="72" spans="2:14">
      <c r="B72" s="339">
        <f>'Inndata Bygg'!B77</f>
        <v>0</v>
      </c>
      <c r="C72" s="340">
        <f>'Inndata Bygg'!C77</f>
        <v>0</v>
      </c>
      <c r="D72" s="340">
        <f>'Inndata Bygg'!D77</f>
        <v>0</v>
      </c>
      <c r="E72" s="340"/>
      <c r="F72" s="581">
        <f t="array" ref="F72">SUM(IFERROR(G72:N72,0))</f>
        <v>0</v>
      </c>
      <c r="G72" s="582">
        <f>'Inndata Bygg'!E77</f>
        <v>0</v>
      </c>
      <c r="H72" s="583">
        <f>SUM('Resultater detaljert Bygg'!N74:P74)</f>
        <v>0</v>
      </c>
      <c r="I72" s="584">
        <f>SUM('Resultater detaljert Bygg'!Q74:U74)</f>
        <v>0</v>
      </c>
      <c r="J72" s="582">
        <f>SUM('Resultater detaljert Bygg'!X74:AB74)</f>
        <v>0</v>
      </c>
      <c r="K72" s="584">
        <f>SUM('Resultater detaljert Bygg'!V74:W74)</f>
        <v>0</v>
      </c>
      <c r="L72" s="583">
        <f>'Resultater detaljert Bygg'!AC74</f>
        <v>0</v>
      </c>
      <c r="M72" s="583">
        <f>'Resultater detaljert Bygg'!AD74</f>
        <v>0</v>
      </c>
      <c r="N72" s="584">
        <f>SUM('Resultater detaljert Bygg'!AE74:AF74)</f>
        <v>0</v>
      </c>
    </row>
    <row r="73" spans="2:14">
      <c r="B73" s="339">
        <f>'Inndata Bygg'!B78</f>
        <v>0</v>
      </c>
      <c r="C73" s="340">
        <f>'Inndata Bygg'!C78</f>
        <v>0</v>
      </c>
      <c r="D73" s="340">
        <f>'Inndata Bygg'!D78</f>
        <v>0</v>
      </c>
      <c r="E73" s="340"/>
      <c r="F73" s="581">
        <f t="array" ref="F73">SUM(IFERROR(G73:N73,0))</f>
        <v>0</v>
      </c>
      <c r="G73" s="582">
        <f>'Inndata Bygg'!E78</f>
        <v>0</v>
      </c>
      <c r="H73" s="583">
        <f>SUM('Resultater detaljert Bygg'!N75:P75)</f>
        <v>0</v>
      </c>
      <c r="I73" s="584">
        <f>SUM('Resultater detaljert Bygg'!Q75:U75)</f>
        <v>0</v>
      </c>
      <c r="J73" s="582">
        <f>SUM('Resultater detaljert Bygg'!X75:AB75)</f>
        <v>0</v>
      </c>
      <c r="K73" s="584">
        <f>SUM('Resultater detaljert Bygg'!V75:W75)</f>
        <v>0</v>
      </c>
      <c r="L73" s="583">
        <f>'Resultater detaljert Bygg'!AC75</f>
        <v>0</v>
      </c>
      <c r="M73" s="583">
        <f>'Resultater detaljert Bygg'!AD75</f>
        <v>0</v>
      </c>
      <c r="N73" s="584">
        <f>SUM('Resultater detaljert Bygg'!AE75:AF75)</f>
        <v>0</v>
      </c>
    </row>
    <row r="74" spans="2:14">
      <c r="B74" s="339">
        <f>'Inndata Bygg'!B79</f>
        <v>0</v>
      </c>
      <c r="C74" s="340">
        <f>'Inndata Bygg'!C79</f>
        <v>0</v>
      </c>
      <c r="D74" s="340">
        <f>'Inndata Bygg'!D79</f>
        <v>0</v>
      </c>
      <c r="E74" s="340"/>
      <c r="F74" s="581">
        <f t="array" ref="F74">SUM(IFERROR(G74:N74,0))</f>
        <v>0</v>
      </c>
      <c r="G74" s="582">
        <f>'Inndata Bygg'!E79</f>
        <v>0</v>
      </c>
      <c r="H74" s="583">
        <f>SUM('Resultater detaljert Bygg'!N76:P76)</f>
        <v>0</v>
      </c>
      <c r="I74" s="584">
        <f>SUM('Resultater detaljert Bygg'!Q76:U76)</f>
        <v>0</v>
      </c>
      <c r="J74" s="582">
        <f>SUM('Resultater detaljert Bygg'!X76:AB76)</f>
        <v>0</v>
      </c>
      <c r="K74" s="584">
        <f>SUM('Resultater detaljert Bygg'!V76:W76)</f>
        <v>0</v>
      </c>
      <c r="L74" s="583">
        <f>'Resultater detaljert Bygg'!AC76</f>
        <v>0</v>
      </c>
      <c r="M74" s="583">
        <f>'Resultater detaljert Bygg'!AD76</f>
        <v>0</v>
      </c>
      <c r="N74" s="584">
        <f>SUM('Resultater detaljert Bygg'!AE76:AF76)</f>
        <v>0</v>
      </c>
    </row>
    <row r="75" spans="2:14">
      <c r="B75" s="339">
        <f>'Inndata Bygg'!B80</f>
        <v>0</v>
      </c>
      <c r="C75" s="340">
        <f>'Inndata Bygg'!C80</f>
        <v>0</v>
      </c>
      <c r="D75" s="340">
        <f>'Inndata Bygg'!D80</f>
        <v>0</v>
      </c>
      <c r="E75" s="340"/>
      <c r="F75" s="581">
        <f t="array" ref="F75">SUM(IFERROR(G75:N75,0))</f>
        <v>0</v>
      </c>
      <c r="G75" s="582">
        <f>'Inndata Bygg'!E80</f>
        <v>0</v>
      </c>
      <c r="H75" s="583">
        <f>SUM('Resultater detaljert Bygg'!N77:P77)</f>
        <v>0</v>
      </c>
      <c r="I75" s="584">
        <f>SUM('Resultater detaljert Bygg'!Q77:U77)</f>
        <v>0</v>
      </c>
      <c r="J75" s="582">
        <f>SUM('Resultater detaljert Bygg'!X77:AB77)</f>
        <v>0</v>
      </c>
      <c r="K75" s="584">
        <f>SUM('Resultater detaljert Bygg'!V77:W77)</f>
        <v>0</v>
      </c>
      <c r="L75" s="583">
        <f>'Resultater detaljert Bygg'!AC77</f>
        <v>0</v>
      </c>
      <c r="M75" s="583">
        <f>'Resultater detaljert Bygg'!AD77</f>
        <v>0</v>
      </c>
      <c r="N75" s="584">
        <f>SUM('Resultater detaljert Bygg'!AE77:AF77)</f>
        <v>0</v>
      </c>
    </row>
    <row r="76" spans="2:14">
      <c r="B76" s="339">
        <f>'Inndata Bygg'!B81</f>
        <v>0</v>
      </c>
      <c r="C76" s="340">
        <f>'Inndata Bygg'!C81</f>
        <v>0</v>
      </c>
      <c r="D76" s="340">
        <f>'Inndata Bygg'!D81</f>
        <v>0</v>
      </c>
      <c r="E76" s="340"/>
      <c r="F76" s="581">
        <f t="array" ref="F76">SUM(IFERROR(G76:N76,0))</f>
        <v>0</v>
      </c>
      <c r="G76" s="582">
        <f>'Inndata Bygg'!E81</f>
        <v>0</v>
      </c>
      <c r="H76" s="583">
        <f>SUM('Resultater detaljert Bygg'!N78:P78)</f>
        <v>0</v>
      </c>
      <c r="I76" s="584">
        <f>SUM('Resultater detaljert Bygg'!Q78:U78)</f>
        <v>0</v>
      </c>
      <c r="J76" s="582">
        <f>SUM('Resultater detaljert Bygg'!X78:AB78)</f>
        <v>0</v>
      </c>
      <c r="K76" s="584">
        <f>SUM('Resultater detaljert Bygg'!V78:W78)</f>
        <v>0</v>
      </c>
      <c r="L76" s="583">
        <f>'Resultater detaljert Bygg'!AC78</f>
        <v>0</v>
      </c>
      <c r="M76" s="583">
        <f>'Resultater detaljert Bygg'!AD78</f>
        <v>0</v>
      </c>
      <c r="N76" s="584">
        <f>SUM('Resultater detaljert Bygg'!AE78:AF78)</f>
        <v>0</v>
      </c>
    </row>
    <row r="77" spans="2:14">
      <c r="B77" s="339">
        <f>'Inndata Bygg'!B82</f>
        <v>0</v>
      </c>
      <c r="C77" s="340">
        <f>'Inndata Bygg'!C82</f>
        <v>0</v>
      </c>
      <c r="D77" s="340">
        <f>'Inndata Bygg'!D82</f>
        <v>0</v>
      </c>
      <c r="E77" s="340"/>
      <c r="F77" s="581">
        <f t="array" ref="F77">SUM(IFERROR(G77:N77,0))</f>
        <v>0</v>
      </c>
      <c r="G77" s="582">
        <f>'Inndata Bygg'!E82</f>
        <v>0</v>
      </c>
      <c r="H77" s="583">
        <f>SUM('Resultater detaljert Bygg'!N79:P79)</f>
        <v>0</v>
      </c>
      <c r="I77" s="584">
        <f>SUM('Resultater detaljert Bygg'!Q79:U79)</f>
        <v>0</v>
      </c>
      <c r="J77" s="582">
        <f>SUM('Resultater detaljert Bygg'!X79:AB79)</f>
        <v>0</v>
      </c>
      <c r="K77" s="584">
        <f>SUM('Resultater detaljert Bygg'!V79:W79)</f>
        <v>0</v>
      </c>
      <c r="L77" s="583">
        <f>'Resultater detaljert Bygg'!AC79</f>
        <v>0</v>
      </c>
      <c r="M77" s="583">
        <f>'Resultater detaljert Bygg'!AD79</f>
        <v>0</v>
      </c>
      <c r="N77" s="584">
        <f>SUM('Resultater detaljert Bygg'!AE79:AF79)</f>
        <v>0</v>
      </c>
    </row>
    <row r="78" spans="2:14">
      <c r="B78" s="339">
        <f>'Inndata Bygg'!B83</f>
        <v>0</v>
      </c>
      <c r="C78" s="340">
        <f>'Inndata Bygg'!C83</f>
        <v>0</v>
      </c>
      <c r="D78" s="340">
        <f>'Inndata Bygg'!D83</f>
        <v>0</v>
      </c>
      <c r="E78" s="340"/>
      <c r="F78" s="581">
        <f t="array" ref="F78">SUM(IFERROR(G78:N78,0))</f>
        <v>0</v>
      </c>
      <c r="G78" s="582">
        <f>'Inndata Bygg'!E83</f>
        <v>0</v>
      </c>
      <c r="H78" s="583">
        <f>SUM('Resultater detaljert Bygg'!N80:P80)</f>
        <v>0</v>
      </c>
      <c r="I78" s="584">
        <f>SUM('Resultater detaljert Bygg'!Q80:U80)</f>
        <v>0</v>
      </c>
      <c r="J78" s="582">
        <f>SUM('Resultater detaljert Bygg'!X80:AB80)</f>
        <v>0</v>
      </c>
      <c r="K78" s="584">
        <f>SUM('Resultater detaljert Bygg'!V80:W80)</f>
        <v>0</v>
      </c>
      <c r="L78" s="583">
        <f>'Resultater detaljert Bygg'!AC80</f>
        <v>0</v>
      </c>
      <c r="M78" s="583">
        <f>'Resultater detaljert Bygg'!AD80</f>
        <v>0</v>
      </c>
      <c r="N78" s="584">
        <f>SUM('Resultater detaljert Bygg'!AE80:AF80)</f>
        <v>0</v>
      </c>
    </row>
    <row r="79" spans="2:14">
      <c r="B79" s="339">
        <f>'Inndata Bygg'!B84</f>
        <v>0</v>
      </c>
      <c r="C79" s="340">
        <f>'Inndata Bygg'!C84</f>
        <v>0</v>
      </c>
      <c r="D79" s="340">
        <f>'Inndata Bygg'!D84</f>
        <v>0</v>
      </c>
      <c r="E79" s="340"/>
      <c r="F79" s="581">
        <f t="array" ref="F79">SUM(IFERROR(G79:N79,0))</f>
        <v>0</v>
      </c>
      <c r="G79" s="582">
        <f>'Inndata Bygg'!E84</f>
        <v>0</v>
      </c>
      <c r="H79" s="583">
        <f>SUM('Resultater detaljert Bygg'!N81:P81)</f>
        <v>0</v>
      </c>
      <c r="I79" s="584">
        <f>SUM('Resultater detaljert Bygg'!Q81:U81)</f>
        <v>0</v>
      </c>
      <c r="J79" s="582">
        <f>SUM('Resultater detaljert Bygg'!X81:AB81)</f>
        <v>0</v>
      </c>
      <c r="K79" s="584">
        <f>SUM('Resultater detaljert Bygg'!V81:W81)</f>
        <v>0</v>
      </c>
      <c r="L79" s="583">
        <f>'Resultater detaljert Bygg'!AC81</f>
        <v>0</v>
      </c>
      <c r="M79" s="583">
        <f>'Resultater detaljert Bygg'!AD81</f>
        <v>0</v>
      </c>
      <c r="N79" s="584">
        <f>SUM('Resultater detaljert Bygg'!AE81:AF81)</f>
        <v>0</v>
      </c>
    </row>
    <row r="80" spans="2:14">
      <c r="B80" s="339">
        <f>'Inndata Bygg'!B85</f>
        <v>0</v>
      </c>
      <c r="C80" s="340">
        <f>'Inndata Bygg'!C85</f>
        <v>0</v>
      </c>
      <c r="D80" s="340">
        <f>'Inndata Bygg'!D85</f>
        <v>0</v>
      </c>
      <c r="E80" s="340"/>
      <c r="F80" s="581">
        <f t="array" ref="F80">SUM(IFERROR(G80:N80,0))</f>
        <v>0</v>
      </c>
      <c r="G80" s="582">
        <f>'Inndata Bygg'!E85</f>
        <v>0</v>
      </c>
      <c r="H80" s="583">
        <f>SUM('Resultater detaljert Bygg'!N82:P82)</f>
        <v>0</v>
      </c>
      <c r="I80" s="584">
        <f>SUM('Resultater detaljert Bygg'!Q82:U82)</f>
        <v>0</v>
      </c>
      <c r="J80" s="582">
        <f>SUM('Resultater detaljert Bygg'!X82:AB82)</f>
        <v>0</v>
      </c>
      <c r="K80" s="584">
        <f>SUM('Resultater detaljert Bygg'!V82:W82)</f>
        <v>0</v>
      </c>
      <c r="L80" s="583">
        <f>'Resultater detaljert Bygg'!AC82</f>
        <v>0</v>
      </c>
      <c r="M80" s="583">
        <f>'Resultater detaljert Bygg'!AD82</f>
        <v>0</v>
      </c>
      <c r="N80" s="584">
        <f>SUM('Resultater detaljert Bygg'!AE82:AF82)</f>
        <v>0</v>
      </c>
    </row>
    <row r="81" spans="2:14">
      <c r="B81" s="339">
        <f>'Inndata Bygg'!B86</f>
        <v>0</v>
      </c>
      <c r="C81" s="340">
        <f>'Inndata Bygg'!C86</f>
        <v>0</v>
      </c>
      <c r="D81" s="340">
        <f>'Inndata Bygg'!D86</f>
        <v>0</v>
      </c>
      <c r="E81" s="340"/>
      <c r="F81" s="581">
        <f t="array" ref="F81">SUM(IFERROR(G81:N81,0))</f>
        <v>0</v>
      </c>
      <c r="G81" s="582">
        <f>'Inndata Bygg'!E86</f>
        <v>0</v>
      </c>
      <c r="H81" s="583">
        <f>SUM('Resultater detaljert Bygg'!N83:P83)</f>
        <v>0</v>
      </c>
      <c r="I81" s="584">
        <f>SUM('Resultater detaljert Bygg'!Q83:U83)</f>
        <v>0</v>
      </c>
      <c r="J81" s="582">
        <f>SUM('Resultater detaljert Bygg'!X83:AB83)</f>
        <v>0</v>
      </c>
      <c r="K81" s="584">
        <f>SUM('Resultater detaljert Bygg'!V83:W83)</f>
        <v>0</v>
      </c>
      <c r="L81" s="583">
        <f>'Resultater detaljert Bygg'!AC83</f>
        <v>0</v>
      </c>
      <c r="M81" s="583">
        <f>'Resultater detaljert Bygg'!AD83</f>
        <v>0</v>
      </c>
      <c r="N81" s="584">
        <f>SUM('Resultater detaljert Bygg'!AE83:AF83)</f>
        <v>0</v>
      </c>
    </row>
    <row r="82" spans="2:14">
      <c r="B82" s="339">
        <f>'Inndata Bygg'!B87</f>
        <v>0</v>
      </c>
      <c r="C82" s="340">
        <f>'Inndata Bygg'!C87</f>
        <v>0</v>
      </c>
      <c r="D82" s="340">
        <f>'Inndata Bygg'!D87</f>
        <v>0</v>
      </c>
      <c r="E82" s="340"/>
      <c r="F82" s="581">
        <f t="array" ref="F82">SUM(IFERROR(G82:N82,0))</f>
        <v>0</v>
      </c>
      <c r="G82" s="582">
        <f>'Inndata Bygg'!E87</f>
        <v>0</v>
      </c>
      <c r="H82" s="583">
        <f>SUM('Resultater detaljert Bygg'!N84:P84)</f>
        <v>0</v>
      </c>
      <c r="I82" s="584">
        <f>SUM('Resultater detaljert Bygg'!Q84:U84)</f>
        <v>0</v>
      </c>
      <c r="J82" s="582">
        <f>SUM('Resultater detaljert Bygg'!X84:AB84)</f>
        <v>0</v>
      </c>
      <c r="K82" s="584">
        <f>SUM('Resultater detaljert Bygg'!V84:W84)</f>
        <v>0</v>
      </c>
      <c r="L82" s="583">
        <f>'Resultater detaljert Bygg'!AC84</f>
        <v>0</v>
      </c>
      <c r="M82" s="583">
        <f>'Resultater detaljert Bygg'!AD84</f>
        <v>0</v>
      </c>
      <c r="N82" s="584">
        <f>SUM('Resultater detaljert Bygg'!AE84:AF84)</f>
        <v>0</v>
      </c>
    </row>
    <row r="83" spans="2:14">
      <c r="B83" s="339">
        <f>'Inndata Bygg'!B88</f>
        <v>0</v>
      </c>
      <c r="C83" s="340">
        <f>'Inndata Bygg'!C88</f>
        <v>0</v>
      </c>
      <c r="D83" s="340">
        <f>'Inndata Bygg'!D88</f>
        <v>0</v>
      </c>
      <c r="E83" s="340"/>
      <c r="F83" s="581">
        <f t="array" ref="F83">SUM(IFERROR(G83:N83,0))</f>
        <v>0</v>
      </c>
      <c r="G83" s="582">
        <f>'Inndata Bygg'!E88</f>
        <v>0</v>
      </c>
      <c r="H83" s="583">
        <f>SUM('Resultater detaljert Bygg'!N85:P85)</f>
        <v>0</v>
      </c>
      <c r="I83" s="584">
        <f>SUM('Resultater detaljert Bygg'!Q85:U85)</f>
        <v>0</v>
      </c>
      <c r="J83" s="582">
        <f>SUM('Resultater detaljert Bygg'!X85:AB85)</f>
        <v>0</v>
      </c>
      <c r="K83" s="584">
        <f>SUM('Resultater detaljert Bygg'!V85:W85)</f>
        <v>0</v>
      </c>
      <c r="L83" s="583">
        <f>'Resultater detaljert Bygg'!AC85</f>
        <v>0</v>
      </c>
      <c r="M83" s="583">
        <f>'Resultater detaljert Bygg'!AD85</f>
        <v>0</v>
      </c>
      <c r="N83" s="584">
        <f>SUM('Resultater detaljert Bygg'!AE85:AF85)</f>
        <v>0</v>
      </c>
    </row>
    <row r="84" spans="2:14">
      <c r="B84" s="339">
        <f>'Inndata Bygg'!B89</f>
        <v>0</v>
      </c>
      <c r="C84" s="340">
        <f>'Inndata Bygg'!C89</f>
        <v>0</v>
      </c>
      <c r="D84" s="340">
        <f>'Inndata Bygg'!D89</f>
        <v>0</v>
      </c>
      <c r="E84" s="340"/>
      <c r="F84" s="581">
        <f t="array" ref="F84">SUM(IFERROR(G84:N84,0))</f>
        <v>0</v>
      </c>
      <c r="G84" s="582">
        <f>'Inndata Bygg'!E89</f>
        <v>0</v>
      </c>
      <c r="H84" s="583">
        <f>SUM('Resultater detaljert Bygg'!N86:P86)</f>
        <v>0</v>
      </c>
      <c r="I84" s="584">
        <f>SUM('Resultater detaljert Bygg'!Q86:U86)</f>
        <v>0</v>
      </c>
      <c r="J84" s="582">
        <f>SUM('Resultater detaljert Bygg'!X86:AB86)</f>
        <v>0</v>
      </c>
      <c r="K84" s="584">
        <f>SUM('Resultater detaljert Bygg'!V86:W86)</f>
        <v>0</v>
      </c>
      <c r="L84" s="583">
        <f>'Resultater detaljert Bygg'!AC86</f>
        <v>0</v>
      </c>
      <c r="M84" s="583">
        <f>'Resultater detaljert Bygg'!AD86</f>
        <v>0</v>
      </c>
      <c r="N84" s="584">
        <f>SUM('Resultater detaljert Bygg'!AE86:AF86)</f>
        <v>0</v>
      </c>
    </row>
    <row r="85" spans="2:14">
      <c r="B85" s="339">
        <f>'Inndata Bygg'!B90</f>
        <v>0</v>
      </c>
      <c r="C85" s="340">
        <f>'Inndata Bygg'!C90</f>
        <v>0</v>
      </c>
      <c r="D85" s="340">
        <f>'Inndata Bygg'!D90</f>
        <v>0</v>
      </c>
      <c r="E85" s="340"/>
      <c r="F85" s="581">
        <f t="array" ref="F85">SUM(IFERROR(G85:N85,0))</f>
        <v>0</v>
      </c>
      <c r="G85" s="582">
        <f>'Inndata Bygg'!E90</f>
        <v>0</v>
      </c>
      <c r="H85" s="583">
        <f>SUM('Resultater detaljert Bygg'!N87:P87)</f>
        <v>0</v>
      </c>
      <c r="I85" s="584">
        <f>SUM('Resultater detaljert Bygg'!Q87:U87)</f>
        <v>0</v>
      </c>
      <c r="J85" s="582">
        <f>SUM('Resultater detaljert Bygg'!X87:AB87)</f>
        <v>0</v>
      </c>
      <c r="K85" s="584">
        <f>SUM('Resultater detaljert Bygg'!V87:W87)</f>
        <v>0</v>
      </c>
      <c r="L85" s="583">
        <f>'Resultater detaljert Bygg'!AC87</f>
        <v>0</v>
      </c>
      <c r="M85" s="583">
        <f>'Resultater detaljert Bygg'!AD87</f>
        <v>0</v>
      </c>
      <c r="N85" s="584">
        <f>SUM('Resultater detaljert Bygg'!AE87:AF87)</f>
        <v>0</v>
      </c>
    </row>
    <row r="86" spans="2:14">
      <c r="B86" s="339">
        <f>'Inndata Bygg'!B91</f>
        <v>0</v>
      </c>
      <c r="C86" s="340">
        <f>'Inndata Bygg'!C91</f>
        <v>0</v>
      </c>
      <c r="D86" s="340">
        <f>'Inndata Bygg'!D91</f>
        <v>0</v>
      </c>
      <c r="E86" s="340"/>
      <c r="F86" s="581">
        <f t="array" ref="F86">SUM(IFERROR(G86:N86,0))</f>
        <v>0</v>
      </c>
      <c r="G86" s="582">
        <f>'Inndata Bygg'!E91</f>
        <v>0</v>
      </c>
      <c r="H86" s="583">
        <f>SUM('Resultater detaljert Bygg'!N88:P88)</f>
        <v>0</v>
      </c>
      <c r="I86" s="584">
        <f>SUM('Resultater detaljert Bygg'!Q88:U88)</f>
        <v>0</v>
      </c>
      <c r="J86" s="582">
        <f>SUM('Resultater detaljert Bygg'!X88:AB88)</f>
        <v>0</v>
      </c>
      <c r="K86" s="584">
        <f>SUM('Resultater detaljert Bygg'!V88:W88)</f>
        <v>0</v>
      </c>
      <c r="L86" s="583">
        <f>'Resultater detaljert Bygg'!AC88</f>
        <v>0</v>
      </c>
      <c r="M86" s="583">
        <f>'Resultater detaljert Bygg'!AD88</f>
        <v>0</v>
      </c>
      <c r="N86" s="584">
        <f>SUM('Resultater detaljert Bygg'!AE88:AF88)</f>
        <v>0</v>
      </c>
    </row>
    <row r="87" spans="2:14">
      <c r="B87" s="339">
        <f>'Inndata Bygg'!B92</f>
        <v>0</v>
      </c>
      <c r="C87" s="340">
        <f>'Inndata Bygg'!C92</f>
        <v>0</v>
      </c>
      <c r="D87" s="340">
        <f>'Inndata Bygg'!D92</f>
        <v>0</v>
      </c>
      <c r="E87" s="340"/>
      <c r="F87" s="581">
        <f t="array" ref="F87">SUM(IFERROR(G87:N87,0))</f>
        <v>0</v>
      </c>
      <c r="G87" s="582">
        <f>'Inndata Bygg'!E92</f>
        <v>0</v>
      </c>
      <c r="H87" s="583">
        <f>SUM('Resultater detaljert Bygg'!N89:P89)</f>
        <v>0</v>
      </c>
      <c r="I87" s="584">
        <f>SUM('Resultater detaljert Bygg'!Q89:U89)</f>
        <v>0</v>
      </c>
      <c r="J87" s="582">
        <f>SUM('Resultater detaljert Bygg'!X89:AB89)</f>
        <v>0</v>
      </c>
      <c r="K87" s="584">
        <f>SUM('Resultater detaljert Bygg'!V89:W89)</f>
        <v>0</v>
      </c>
      <c r="L87" s="583">
        <f>'Resultater detaljert Bygg'!AC89</f>
        <v>0</v>
      </c>
      <c r="M87" s="583">
        <f>'Resultater detaljert Bygg'!AD89</f>
        <v>0</v>
      </c>
      <c r="N87" s="584">
        <f>SUM('Resultater detaljert Bygg'!AE89:AF89)</f>
        <v>0</v>
      </c>
    </row>
    <row r="88" spans="2:14">
      <c r="B88" s="339">
        <f>'Inndata Bygg'!B93</f>
        <v>0</v>
      </c>
      <c r="C88" s="340">
        <f>'Inndata Bygg'!C93</f>
        <v>0</v>
      </c>
      <c r="D88" s="340">
        <f>'Inndata Bygg'!D93</f>
        <v>0</v>
      </c>
      <c r="E88" s="340"/>
      <c r="F88" s="581">
        <f t="array" ref="F88">SUM(IFERROR(G88:N88,0))</f>
        <v>0</v>
      </c>
      <c r="G88" s="582">
        <f>'Inndata Bygg'!E93</f>
        <v>0</v>
      </c>
      <c r="H88" s="583">
        <f>SUM('Resultater detaljert Bygg'!N90:P90)</f>
        <v>0</v>
      </c>
      <c r="I88" s="584">
        <f>SUM('Resultater detaljert Bygg'!Q90:U90)</f>
        <v>0</v>
      </c>
      <c r="J88" s="582">
        <f>SUM('Resultater detaljert Bygg'!X90:AB90)</f>
        <v>0</v>
      </c>
      <c r="K88" s="584">
        <f>SUM('Resultater detaljert Bygg'!V90:W90)</f>
        <v>0</v>
      </c>
      <c r="L88" s="583">
        <f>'Resultater detaljert Bygg'!AC90</f>
        <v>0</v>
      </c>
      <c r="M88" s="583">
        <f>'Resultater detaljert Bygg'!AD90</f>
        <v>0</v>
      </c>
      <c r="N88" s="584">
        <f>SUM('Resultater detaljert Bygg'!AE90:AF90)</f>
        <v>0</v>
      </c>
    </row>
    <row r="89" spans="2:14">
      <c r="B89" s="339">
        <f>'Inndata Bygg'!B94</f>
        <v>0</v>
      </c>
      <c r="C89" s="340">
        <f>'Inndata Bygg'!C94</f>
        <v>0</v>
      </c>
      <c r="D89" s="340">
        <f>'Inndata Bygg'!D94</f>
        <v>0</v>
      </c>
      <c r="E89" s="340"/>
      <c r="F89" s="581">
        <f t="array" ref="F89">SUM(IFERROR(G89:N89,0))</f>
        <v>0</v>
      </c>
      <c r="G89" s="582">
        <f>'Inndata Bygg'!E94</f>
        <v>0</v>
      </c>
      <c r="H89" s="583">
        <f>SUM('Resultater detaljert Bygg'!N91:P91)</f>
        <v>0</v>
      </c>
      <c r="I89" s="584">
        <f>SUM('Resultater detaljert Bygg'!Q91:U91)</f>
        <v>0</v>
      </c>
      <c r="J89" s="582">
        <f>SUM('Resultater detaljert Bygg'!X91:AB91)</f>
        <v>0</v>
      </c>
      <c r="K89" s="584">
        <f>SUM('Resultater detaljert Bygg'!V91:W91)</f>
        <v>0</v>
      </c>
      <c r="L89" s="583">
        <f>'Resultater detaljert Bygg'!AC91</f>
        <v>0</v>
      </c>
      <c r="M89" s="583">
        <f>'Resultater detaljert Bygg'!AD91</f>
        <v>0</v>
      </c>
      <c r="N89" s="584">
        <f>SUM('Resultater detaljert Bygg'!AE91:AF91)</f>
        <v>0</v>
      </c>
    </row>
    <row r="90" spans="2:14">
      <c r="B90" s="339">
        <f>'Inndata Bygg'!B95</f>
        <v>0</v>
      </c>
      <c r="C90" s="340">
        <f>'Inndata Bygg'!C95</f>
        <v>0</v>
      </c>
      <c r="D90" s="340">
        <f>'Inndata Bygg'!D95</f>
        <v>0</v>
      </c>
      <c r="E90" s="340"/>
      <c r="F90" s="581">
        <f t="array" ref="F90">SUM(IFERROR(G90:N90,0))</f>
        <v>0</v>
      </c>
      <c r="G90" s="582">
        <f>'Inndata Bygg'!E95</f>
        <v>0</v>
      </c>
      <c r="H90" s="583">
        <f>SUM('Resultater detaljert Bygg'!N92:P92)</f>
        <v>0</v>
      </c>
      <c r="I90" s="584">
        <f>SUM('Resultater detaljert Bygg'!Q92:U92)</f>
        <v>0</v>
      </c>
      <c r="J90" s="582">
        <f>SUM('Resultater detaljert Bygg'!X92:AB92)</f>
        <v>0</v>
      </c>
      <c r="K90" s="584">
        <f>SUM('Resultater detaljert Bygg'!V92:W92)</f>
        <v>0</v>
      </c>
      <c r="L90" s="583">
        <f>'Resultater detaljert Bygg'!AC92</f>
        <v>0</v>
      </c>
      <c r="M90" s="583">
        <f>'Resultater detaljert Bygg'!AD92</f>
        <v>0</v>
      </c>
      <c r="N90" s="584">
        <f>SUM('Resultater detaljert Bygg'!AE92:AF92)</f>
        <v>0</v>
      </c>
    </row>
    <row r="91" spans="2:14">
      <c r="B91" s="339">
        <f>'Inndata Bygg'!B96</f>
        <v>0</v>
      </c>
      <c r="C91" s="340">
        <f>'Inndata Bygg'!C96</f>
        <v>0</v>
      </c>
      <c r="D91" s="340">
        <f>'Inndata Bygg'!D96</f>
        <v>0</v>
      </c>
      <c r="E91" s="340"/>
      <c r="F91" s="581">
        <f t="array" ref="F91">SUM(IFERROR(G91:N91,0))</f>
        <v>0</v>
      </c>
      <c r="G91" s="582">
        <f>'Inndata Bygg'!E96</f>
        <v>0</v>
      </c>
      <c r="H91" s="583">
        <f>SUM('Resultater detaljert Bygg'!N93:P93)</f>
        <v>0</v>
      </c>
      <c r="I91" s="584">
        <f>SUM('Resultater detaljert Bygg'!Q93:U93)</f>
        <v>0</v>
      </c>
      <c r="J91" s="582">
        <f>SUM('Resultater detaljert Bygg'!X93:AB93)</f>
        <v>0</v>
      </c>
      <c r="K91" s="584">
        <f>SUM('Resultater detaljert Bygg'!V93:W93)</f>
        <v>0</v>
      </c>
      <c r="L91" s="583">
        <f>'Resultater detaljert Bygg'!AC93</f>
        <v>0</v>
      </c>
      <c r="M91" s="583">
        <f>'Resultater detaljert Bygg'!AD93</f>
        <v>0</v>
      </c>
      <c r="N91" s="584">
        <f>SUM('Resultater detaljert Bygg'!AE93:AF93)</f>
        <v>0</v>
      </c>
    </row>
    <row r="92" spans="2:14">
      <c r="B92" s="339">
        <f>'Inndata Bygg'!B97</f>
        <v>0</v>
      </c>
      <c r="C92" s="340">
        <f>'Inndata Bygg'!C97</f>
        <v>0</v>
      </c>
      <c r="D92" s="340">
        <f>'Inndata Bygg'!D97</f>
        <v>0</v>
      </c>
      <c r="E92" s="340"/>
      <c r="F92" s="581">
        <f t="array" ref="F92">SUM(IFERROR(G92:N92,0))</f>
        <v>0</v>
      </c>
      <c r="G92" s="582">
        <f>'Inndata Bygg'!E97</f>
        <v>0</v>
      </c>
      <c r="H92" s="583">
        <f>SUM('Resultater detaljert Bygg'!N94:P94)</f>
        <v>0</v>
      </c>
      <c r="I92" s="584">
        <f>SUM('Resultater detaljert Bygg'!Q94:U94)</f>
        <v>0</v>
      </c>
      <c r="J92" s="582">
        <f>SUM('Resultater detaljert Bygg'!X94:AB94)</f>
        <v>0</v>
      </c>
      <c r="K92" s="584">
        <f>SUM('Resultater detaljert Bygg'!V94:W94)</f>
        <v>0</v>
      </c>
      <c r="L92" s="583">
        <f>'Resultater detaljert Bygg'!AC94</f>
        <v>0</v>
      </c>
      <c r="M92" s="583">
        <f>'Resultater detaljert Bygg'!AD94</f>
        <v>0</v>
      </c>
      <c r="N92" s="584">
        <f>SUM('Resultater detaljert Bygg'!AE94:AF94)</f>
        <v>0</v>
      </c>
    </row>
    <row r="93" spans="2:14">
      <c r="B93" s="339">
        <f>'Inndata Bygg'!B98</f>
        <v>0</v>
      </c>
      <c r="C93" s="340">
        <f>'Inndata Bygg'!C98</f>
        <v>0</v>
      </c>
      <c r="D93" s="340">
        <f>'Inndata Bygg'!D98</f>
        <v>0</v>
      </c>
      <c r="E93" s="340"/>
      <c r="F93" s="581">
        <f t="array" ref="F93">SUM(IFERROR(G93:N93,0))</f>
        <v>0</v>
      </c>
      <c r="G93" s="582">
        <f>'Inndata Bygg'!E98</f>
        <v>0</v>
      </c>
      <c r="H93" s="583">
        <f>SUM('Resultater detaljert Bygg'!N95:P95)</f>
        <v>0</v>
      </c>
      <c r="I93" s="584">
        <f>SUM('Resultater detaljert Bygg'!Q95:U95)</f>
        <v>0</v>
      </c>
      <c r="J93" s="582">
        <f>SUM('Resultater detaljert Bygg'!X95:AB95)</f>
        <v>0</v>
      </c>
      <c r="K93" s="584">
        <f>SUM('Resultater detaljert Bygg'!V95:W95)</f>
        <v>0</v>
      </c>
      <c r="L93" s="583">
        <f>'Resultater detaljert Bygg'!AC95</f>
        <v>0</v>
      </c>
      <c r="M93" s="583">
        <f>'Resultater detaljert Bygg'!AD95</f>
        <v>0</v>
      </c>
      <c r="N93" s="584">
        <f>SUM('Resultater detaljert Bygg'!AE95:AF95)</f>
        <v>0</v>
      </c>
    </row>
    <row r="94" spans="2:14">
      <c r="B94" s="339">
        <f>'Inndata Bygg'!B99</f>
        <v>0</v>
      </c>
      <c r="C94" s="340">
        <f>'Inndata Bygg'!C99</f>
        <v>0</v>
      </c>
      <c r="D94" s="340">
        <f>'Inndata Bygg'!D99</f>
        <v>0</v>
      </c>
      <c r="E94" s="340"/>
      <c r="F94" s="581">
        <f t="array" ref="F94">SUM(IFERROR(G94:N94,0))</f>
        <v>0</v>
      </c>
      <c r="G94" s="582">
        <f>'Inndata Bygg'!E99</f>
        <v>0</v>
      </c>
      <c r="H94" s="583">
        <f>SUM('Resultater detaljert Bygg'!N96:P96)</f>
        <v>0</v>
      </c>
      <c r="I94" s="584">
        <f>SUM('Resultater detaljert Bygg'!Q96:U96)</f>
        <v>0</v>
      </c>
      <c r="J94" s="582">
        <f>SUM('Resultater detaljert Bygg'!X96:AB96)</f>
        <v>0</v>
      </c>
      <c r="K94" s="584">
        <f>SUM('Resultater detaljert Bygg'!V96:W96)</f>
        <v>0</v>
      </c>
      <c r="L94" s="583">
        <f>'Resultater detaljert Bygg'!AC96</f>
        <v>0</v>
      </c>
      <c r="M94" s="583">
        <f>'Resultater detaljert Bygg'!AD96</f>
        <v>0</v>
      </c>
      <c r="N94" s="584">
        <f>SUM('Resultater detaljert Bygg'!AE96:AF96)</f>
        <v>0</v>
      </c>
    </row>
    <row r="95" spans="2:14">
      <c r="B95" s="339">
        <f>'Inndata Bygg'!B100</f>
        <v>0</v>
      </c>
      <c r="C95" s="340">
        <f>'Inndata Bygg'!C100</f>
        <v>0</v>
      </c>
      <c r="D95" s="340">
        <f>'Inndata Bygg'!D100</f>
        <v>0</v>
      </c>
      <c r="E95" s="340"/>
      <c r="F95" s="581">
        <f t="array" ref="F95">SUM(IFERROR(G95:N95,0))</f>
        <v>0</v>
      </c>
      <c r="G95" s="582">
        <f>'Inndata Bygg'!E100</f>
        <v>0</v>
      </c>
      <c r="H95" s="583">
        <f>SUM('Resultater detaljert Bygg'!N97:P97)</f>
        <v>0</v>
      </c>
      <c r="I95" s="584">
        <f>SUM('Resultater detaljert Bygg'!Q97:U97)</f>
        <v>0</v>
      </c>
      <c r="J95" s="582">
        <f>SUM('Resultater detaljert Bygg'!X97:AB97)</f>
        <v>0</v>
      </c>
      <c r="K95" s="584">
        <f>SUM('Resultater detaljert Bygg'!V97:W97)</f>
        <v>0</v>
      </c>
      <c r="L95" s="583">
        <f>'Resultater detaljert Bygg'!AC97</f>
        <v>0</v>
      </c>
      <c r="M95" s="583">
        <f>'Resultater detaljert Bygg'!AD97</f>
        <v>0</v>
      </c>
      <c r="N95" s="584">
        <f>SUM('Resultater detaljert Bygg'!AE97:AF97)</f>
        <v>0</v>
      </c>
    </row>
    <row r="96" spans="2:14">
      <c r="B96" s="339">
        <f>'Inndata Bygg'!B101</f>
        <v>0</v>
      </c>
      <c r="C96" s="340">
        <f>'Inndata Bygg'!C101</f>
        <v>0</v>
      </c>
      <c r="D96" s="340">
        <f>'Inndata Bygg'!D101</f>
        <v>0</v>
      </c>
      <c r="E96" s="340"/>
      <c r="F96" s="581">
        <f t="array" ref="F96">SUM(IFERROR(G96:N96,0))</f>
        <v>0</v>
      </c>
      <c r="G96" s="582">
        <f>'Inndata Bygg'!E101</f>
        <v>0</v>
      </c>
      <c r="H96" s="583">
        <f>SUM('Resultater detaljert Bygg'!N98:P98)</f>
        <v>0</v>
      </c>
      <c r="I96" s="584">
        <f>SUM('Resultater detaljert Bygg'!Q98:U98)</f>
        <v>0</v>
      </c>
      <c r="J96" s="582">
        <f>SUM('Resultater detaljert Bygg'!X98:AB98)</f>
        <v>0</v>
      </c>
      <c r="K96" s="584">
        <f>SUM('Resultater detaljert Bygg'!V98:W98)</f>
        <v>0</v>
      </c>
      <c r="L96" s="583">
        <f>'Resultater detaljert Bygg'!AC98</f>
        <v>0</v>
      </c>
      <c r="M96" s="583">
        <f>'Resultater detaljert Bygg'!AD98</f>
        <v>0</v>
      </c>
      <c r="N96" s="584">
        <f>SUM('Resultater detaljert Bygg'!AE98:AF98)</f>
        <v>0</v>
      </c>
    </row>
    <row r="97" spans="2:14">
      <c r="B97" s="339">
        <f>'Inndata Bygg'!B102</f>
        <v>0</v>
      </c>
      <c r="C97" s="340">
        <f>'Inndata Bygg'!C102</f>
        <v>0</v>
      </c>
      <c r="D97" s="340">
        <f>'Inndata Bygg'!D102</f>
        <v>0</v>
      </c>
      <c r="E97" s="340"/>
      <c r="F97" s="581">
        <f t="array" ref="F97">SUM(IFERROR(G97:N97,0))</f>
        <v>0</v>
      </c>
      <c r="G97" s="582">
        <f>'Inndata Bygg'!E102</f>
        <v>0</v>
      </c>
      <c r="H97" s="583">
        <f>SUM('Resultater detaljert Bygg'!N99:P99)</f>
        <v>0</v>
      </c>
      <c r="I97" s="584">
        <f>SUM('Resultater detaljert Bygg'!Q99:U99)</f>
        <v>0</v>
      </c>
      <c r="J97" s="582">
        <f>SUM('Resultater detaljert Bygg'!X99:AB99)</f>
        <v>0</v>
      </c>
      <c r="K97" s="584">
        <f>SUM('Resultater detaljert Bygg'!V99:W99)</f>
        <v>0</v>
      </c>
      <c r="L97" s="583">
        <f>'Resultater detaljert Bygg'!AC99</f>
        <v>0</v>
      </c>
      <c r="M97" s="583">
        <f>'Resultater detaljert Bygg'!AD99</f>
        <v>0</v>
      </c>
      <c r="N97" s="584">
        <f>SUM('Resultater detaljert Bygg'!AE99:AF99)</f>
        <v>0</v>
      </c>
    </row>
    <row r="98" spans="2:14">
      <c r="B98" s="339">
        <f>'Inndata Bygg'!B103</f>
        <v>0</v>
      </c>
      <c r="C98" s="340">
        <f>'Inndata Bygg'!C103</f>
        <v>0</v>
      </c>
      <c r="D98" s="340">
        <f>'Inndata Bygg'!D103</f>
        <v>0</v>
      </c>
      <c r="E98" s="340"/>
      <c r="F98" s="581">
        <f t="array" ref="F98">SUM(IFERROR(G98:N98,0))</f>
        <v>0</v>
      </c>
      <c r="G98" s="582">
        <f>'Inndata Bygg'!E103</f>
        <v>0</v>
      </c>
      <c r="H98" s="583">
        <f>SUM('Resultater detaljert Bygg'!N100:P100)</f>
        <v>0</v>
      </c>
      <c r="I98" s="584">
        <f>SUM('Resultater detaljert Bygg'!Q100:U100)</f>
        <v>0</v>
      </c>
      <c r="J98" s="582">
        <f>SUM('Resultater detaljert Bygg'!X100:AB100)</f>
        <v>0</v>
      </c>
      <c r="K98" s="584">
        <f>SUM('Resultater detaljert Bygg'!V100:W100)</f>
        <v>0</v>
      </c>
      <c r="L98" s="583">
        <f>'Resultater detaljert Bygg'!AC100</f>
        <v>0</v>
      </c>
      <c r="M98" s="583">
        <f>'Resultater detaljert Bygg'!AD100</f>
        <v>0</v>
      </c>
      <c r="N98" s="584">
        <f>SUM('Resultater detaljert Bygg'!AE100:AF100)</f>
        <v>0</v>
      </c>
    </row>
    <row r="99" spans="2:14">
      <c r="B99" s="339">
        <f>'Inndata Bygg'!B104</f>
        <v>0</v>
      </c>
      <c r="C99" s="340">
        <f>'Inndata Bygg'!C104</f>
        <v>0</v>
      </c>
      <c r="D99" s="340">
        <f>'Inndata Bygg'!D104</f>
        <v>0</v>
      </c>
      <c r="E99" s="340"/>
      <c r="F99" s="581">
        <f t="array" ref="F99">SUM(IFERROR(G99:N99,0))</f>
        <v>0</v>
      </c>
      <c r="G99" s="582">
        <f>'Inndata Bygg'!E104</f>
        <v>0</v>
      </c>
      <c r="H99" s="583">
        <f>SUM('Resultater detaljert Bygg'!N101:P101)</f>
        <v>0</v>
      </c>
      <c r="I99" s="584">
        <f>SUM('Resultater detaljert Bygg'!Q101:U101)</f>
        <v>0</v>
      </c>
      <c r="J99" s="582">
        <f>SUM('Resultater detaljert Bygg'!X101:AB101)</f>
        <v>0</v>
      </c>
      <c r="K99" s="584">
        <f>SUM('Resultater detaljert Bygg'!V101:W101)</f>
        <v>0</v>
      </c>
      <c r="L99" s="583">
        <f>'Resultater detaljert Bygg'!AC101</f>
        <v>0</v>
      </c>
      <c r="M99" s="583">
        <f>'Resultater detaljert Bygg'!AD101</f>
        <v>0</v>
      </c>
      <c r="N99" s="584">
        <f>SUM('Resultater detaljert Bygg'!AE101:AF101)</f>
        <v>0</v>
      </c>
    </row>
    <row r="100" spans="2:14">
      <c r="B100" s="339">
        <f>'Inndata Bygg'!B105</f>
        <v>0</v>
      </c>
      <c r="C100" s="340">
        <f>'Inndata Bygg'!C105</f>
        <v>0</v>
      </c>
      <c r="D100" s="340">
        <f>'Inndata Bygg'!D105</f>
        <v>0</v>
      </c>
      <c r="E100" s="340"/>
      <c r="F100" s="581">
        <f t="array" ref="F100">SUM(IFERROR(G100:N100,0))</f>
        <v>0</v>
      </c>
      <c r="G100" s="582">
        <f>'Inndata Bygg'!E105</f>
        <v>0</v>
      </c>
      <c r="H100" s="583">
        <f>SUM('Resultater detaljert Bygg'!N102:P102)</f>
        <v>0</v>
      </c>
      <c r="I100" s="584">
        <f>SUM('Resultater detaljert Bygg'!Q102:U102)</f>
        <v>0</v>
      </c>
      <c r="J100" s="582">
        <f>SUM('Resultater detaljert Bygg'!X102:AB102)</f>
        <v>0</v>
      </c>
      <c r="K100" s="584">
        <f>SUM('Resultater detaljert Bygg'!V102:W102)</f>
        <v>0</v>
      </c>
      <c r="L100" s="583">
        <f>'Resultater detaljert Bygg'!AC102</f>
        <v>0</v>
      </c>
      <c r="M100" s="583">
        <f>'Resultater detaljert Bygg'!AD102</f>
        <v>0</v>
      </c>
      <c r="N100" s="584">
        <f>SUM('Resultater detaljert Bygg'!AE102:AF102)</f>
        <v>0</v>
      </c>
    </row>
    <row r="101" spans="2:14">
      <c r="B101" s="339">
        <f>'Inndata Bygg'!B106</f>
        <v>0</v>
      </c>
      <c r="C101" s="340">
        <f>'Inndata Bygg'!C106</f>
        <v>0</v>
      </c>
      <c r="D101" s="340">
        <f>'Inndata Bygg'!D106</f>
        <v>0</v>
      </c>
      <c r="E101" s="340"/>
      <c r="F101" s="581">
        <f t="array" ref="F101">SUM(IFERROR(G101:N101,0))</f>
        <v>0</v>
      </c>
      <c r="G101" s="582">
        <f>'Inndata Bygg'!E106</f>
        <v>0</v>
      </c>
      <c r="H101" s="583">
        <f>SUM('Resultater detaljert Bygg'!N103:P103)</f>
        <v>0</v>
      </c>
      <c r="I101" s="584">
        <f>SUM('Resultater detaljert Bygg'!Q103:U103)</f>
        <v>0</v>
      </c>
      <c r="J101" s="582">
        <f>SUM('Resultater detaljert Bygg'!X103:AB103)</f>
        <v>0</v>
      </c>
      <c r="K101" s="584">
        <f>SUM('Resultater detaljert Bygg'!V103:W103)</f>
        <v>0</v>
      </c>
      <c r="L101" s="583">
        <f>'Resultater detaljert Bygg'!AC103</f>
        <v>0</v>
      </c>
      <c r="M101" s="583">
        <f>'Resultater detaljert Bygg'!AD103</f>
        <v>0</v>
      </c>
      <c r="N101" s="584">
        <f>SUM('Resultater detaljert Bygg'!AE103:AF103)</f>
        <v>0</v>
      </c>
    </row>
    <row r="102" spans="2:14">
      <c r="B102" s="339">
        <f>'Inndata Bygg'!B107</f>
        <v>0</v>
      </c>
      <c r="C102" s="340">
        <f>'Inndata Bygg'!C107</f>
        <v>0</v>
      </c>
      <c r="D102" s="340">
        <f>'Inndata Bygg'!D107</f>
        <v>0</v>
      </c>
      <c r="E102" s="340"/>
      <c r="F102" s="581">
        <f t="array" ref="F102">SUM(IFERROR(G102:N102,0))</f>
        <v>0</v>
      </c>
      <c r="G102" s="582">
        <f>'Inndata Bygg'!E107</f>
        <v>0</v>
      </c>
      <c r="H102" s="583">
        <f>SUM('Resultater detaljert Bygg'!N104:P104)</f>
        <v>0</v>
      </c>
      <c r="I102" s="584">
        <f>SUM('Resultater detaljert Bygg'!Q104:U104)</f>
        <v>0</v>
      </c>
      <c r="J102" s="582">
        <f>SUM('Resultater detaljert Bygg'!X104:AB104)</f>
        <v>0</v>
      </c>
      <c r="K102" s="584">
        <f>SUM('Resultater detaljert Bygg'!V104:W104)</f>
        <v>0</v>
      </c>
      <c r="L102" s="583">
        <f>'Resultater detaljert Bygg'!AC104</f>
        <v>0</v>
      </c>
      <c r="M102" s="583">
        <f>'Resultater detaljert Bygg'!AD104</f>
        <v>0</v>
      </c>
      <c r="N102" s="584">
        <f>SUM('Resultater detaljert Bygg'!AE104:AF104)</f>
        <v>0</v>
      </c>
    </row>
    <row r="103" spans="2:14">
      <c r="B103" s="339">
        <f>'Inndata Bygg'!B108</f>
        <v>0</v>
      </c>
      <c r="C103" s="340">
        <f>'Inndata Bygg'!C108</f>
        <v>0</v>
      </c>
      <c r="D103" s="340">
        <f>'Inndata Bygg'!D108</f>
        <v>0</v>
      </c>
      <c r="E103" s="340"/>
      <c r="F103" s="581">
        <f t="array" ref="F103">SUM(IFERROR(G103:N103,0))</f>
        <v>0</v>
      </c>
      <c r="G103" s="582">
        <f>'Inndata Bygg'!E108</f>
        <v>0</v>
      </c>
      <c r="H103" s="583">
        <f>SUM('Resultater detaljert Bygg'!N105:P105)</f>
        <v>0</v>
      </c>
      <c r="I103" s="584">
        <f>SUM('Resultater detaljert Bygg'!Q105:U105)</f>
        <v>0</v>
      </c>
      <c r="J103" s="582">
        <f>SUM('Resultater detaljert Bygg'!X105:AB105)</f>
        <v>0</v>
      </c>
      <c r="K103" s="584">
        <f>SUM('Resultater detaljert Bygg'!V105:W105)</f>
        <v>0</v>
      </c>
      <c r="L103" s="583">
        <f>'Resultater detaljert Bygg'!AC105</f>
        <v>0</v>
      </c>
      <c r="M103" s="583">
        <f>'Resultater detaljert Bygg'!AD105</f>
        <v>0</v>
      </c>
      <c r="N103" s="584">
        <f>SUM('Resultater detaljert Bygg'!AE105:AF105)</f>
        <v>0</v>
      </c>
    </row>
    <row r="104" spans="2:14">
      <c r="B104" s="339">
        <f>'Inndata Bygg'!B109</f>
        <v>0</v>
      </c>
      <c r="C104" s="340">
        <f>'Inndata Bygg'!C109</f>
        <v>0</v>
      </c>
      <c r="D104" s="340">
        <f>'Inndata Bygg'!D109</f>
        <v>0</v>
      </c>
      <c r="E104" s="340"/>
      <c r="F104" s="581">
        <f t="array" ref="F104">SUM(IFERROR(G104:N104,0))</f>
        <v>0</v>
      </c>
      <c r="G104" s="582">
        <f>'Inndata Bygg'!E109</f>
        <v>0</v>
      </c>
      <c r="H104" s="583">
        <f>SUM('Resultater detaljert Bygg'!N106:P106)</f>
        <v>0</v>
      </c>
      <c r="I104" s="584">
        <f>SUM('Resultater detaljert Bygg'!Q106:U106)</f>
        <v>0</v>
      </c>
      <c r="J104" s="582">
        <f>SUM('Resultater detaljert Bygg'!X106:AB106)</f>
        <v>0</v>
      </c>
      <c r="K104" s="584">
        <f>SUM('Resultater detaljert Bygg'!V106:W106)</f>
        <v>0</v>
      </c>
      <c r="L104" s="583">
        <f>'Resultater detaljert Bygg'!AC106</f>
        <v>0</v>
      </c>
      <c r="M104" s="583">
        <f>'Resultater detaljert Bygg'!AD106</f>
        <v>0</v>
      </c>
      <c r="N104" s="584">
        <f>SUM('Resultater detaljert Bygg'!AE106:AF106)</f>
        <v>0</v>
      </c>
    </row>
    <row r="105" spans="2:14">
      <c r="B105" s="339">
        <f>'Inndata Bygg'!B110</f>
        <v>0</v>
      </c>
      <c r="C105" s="340">
        <f>'Inndata Bygg'!C110</f>
        <v>0</v>
      </c>
      <c r="D105" s="340">
        <f>'Inndata Bygg'!D110</f>
        <v>0</v>
      </c>
      <c r="E105" s="340"/>
      <c r="F105" s="581">
        <f t="array" ref="F105">SUM(IFERROR(G105:N105,0))</f>
        <v>0</v>
      </c>
      <c r="G105" s="582">
        <f>'Inndata Bygg'!E110</f>
        <v>0</v>
      </c>
      <c r="H105" s="583">
        <f>SUM('Resultater detaljert Bygg'!N107:P107)</f>
        <v>0</v>
      </c>
      <c r="I105" s="584">
        <f>SUM('Resultater detaljert Bygg'!Q107:U107)</f>
        <v>0</v>
      </c>
      <c r="J105" s="582">
        <f>SUM('Resultater detaljert Bygg'!X107:AB107)</f>
        <v>0</v>
      </c>
      <c r="K105" s="584">
        <f>SUM('Resultater detaljert Bygg'!V107:W107)</f>
        <v>0</v>
      </c>
      <c r="L105" s="583">
        <f>'Resultater detaljert Bygg'!AC107</f>
        <v>0</v>
      </c>
      <c r="M105" s="583">
        <f>'Resultater detaljert Bygg'!AD107</f>
        <v>0</v>
      </c>
      <c r="N105" s="584">
        <f>SUM('Resultater detaljert Bygg'!AE107:AF107)</f>
        <v>0</v>
      </c>
    </row>
    <row r="106" spans="2:14">
      <c r="B106" s="339">
        <f>'Inndata Bygg'!B111</f>
        <v>0</v>
      </c>
      <c r="C106" s="340">
        <f>'Inndata Bygg'!C111</f>
        <v>0</v>
      </c>
      <c r="D106" s="340">
        <f>'Inndata Bygg'!D111</f>
        <v>0</v>
      </c>
      <c r="E106" s="340"/>
      <c r="F106" s="581">
        <f t="array" ref="F106">SUM(IFERROR(G106:N106,0))</f>
        <v>0</v>
      </c>
      <c r="G106" s="582">
        <f>'Inndata Bygg'!E111</f>
        <v>0</v>
      </c>
      <c r="H106" s="583">
        <f>SUM('Resultater detaljert Bygg'!N108:P108)</f>
        <v>0</v>
      </c>
      <c r="I106" s="584">
        <f>SUM('Resultater detaljert Bygg'!Q108:U108)</f>
        <v>0</v>
      </c>
      <c r="J106" s="582">
        <f>SUM('Resultater detaljert Bygg'!X108:AB108)</f>
        <v>0</v>
      </c>
      <c r="K106" s="584">
        <f>SUM('Resultater detaljert Bygg'!V108:W108)</f>
        <v>0</v>
      </c>
      <c r="L106" s="583">
        <f>'Resultater detaljert Bygg'!AC108</f>
        <v>0</v>
      </c>
      <c r="M106" s="583">
        <f>'Resultater detaljert Bygg'!AD108</f>
        <v>0</v>
      </c>
      <c r="N106" s="584">
        <f>SUM('Resultater detaljert Bygg'!AE108:AF108)</f>
        <v>0</v>
      </c>
    </row>
    <row r="107" spans="2:14">
      <c r="B107" s="339">
        <f>'Inndata Bygg'!B112</f>
        <v>0</v>
      </c>
      <c r="C107" s="340">
        <f>'Inndata Bygg'!C112</f>
        <v>0</v>
      </c>
      <c r="D107" s="340">
        <f>'Inndata Bygg'!D112</f>
        <v>0</v>
      </c>
      <c r="E107" s="340"/>
      <c r="F107" s="581">
        <f t="array" ref="F107">SUM(IFERROR(G107:N107,0))</f>
        <v>0</v>
      </c>
      <c r="G107" s="582">
        <f>'Inndata Bygg'!E112</f>
        <v>0</v>
      </c>
      <c r="H107" s="583">
        <f>SUM('Resultater detaljert Bygg'!N109:P109)</f>
        <v>0</v>
      </c>
      <c r="I107" s="584">
        <f>SUM('Resultater detaljert Bygg'!Q109:U109)</f>
        <v>0</v>
      </c>
      <c r="J107" s="582">
        <f>SUM('Resultater detaljert Bygg'!X109:AB109)</f>
        <v>0</v>
      </c>
      <c r="K107" s="584">
        <f>SUM('Resultater detaljert Bygg'!V109:W109)</f>
        <v>0</v>
      </c>
      <c r="L107" s="583">
        <f>'Resultater detaljert Bygg'!AC109</f>
        <v>0</v>
      </c>
      <c r="M107" s="583">
        <f>'Resultater detaljert Bygg'!AD109</f>
        <v>0</v>
      </c>
      <c r="N107" s="584">
        <f>SUM('Resultater detaljert Bygg'!AE109:AF109)</f>
        <v>0</v>
      </c>
    </row>
    <row r="108" spans="2:14">
      <c r="B108" s="339">
        <f>'Inndata Bygg'!B113</f>
        <v>0</v>
      </c>
      <c r="C108" s="340">
        <f>'Inndata Bygg'!C113</f>
        <v>0</v>
      </c>
      <c r="D108" s="340">
        <f>'Inndata Bygg'!D113</f>
        <v>0</v>
      </c>
      <c r="E108" s="340"/>
      <c r="F108" s="581">
        <f t="array" ref="F108">SUM(IFERROR(G108:N108,0))</f>
        <v>0</v>
      </c>
      <c r="G108" s="582">
        <f>'Inndata Bygg'!E113</f>
        <v>0</v>
      </c>
      <c r="H108" s="583">
        <f>SUM('Resultater detaljert Bygg'!N110:P110)</f>
        <v>0</v>
      </c>
      <c r="I108" s="584">
        <f>SUM('Resultater detaljert Bygg'!Q110:U110)</f>
        <v>0</v>
      </c>
      <c r="J108" s="582">
        <f>SUM('Resultater detaljert Bygg'!X110:AB110)</f>
        <v>0</v>
      </c>
      <c r="K108" s="584">
        <f>SUM('Resultater detaljert Bygg'!V110:W110)</f>
        <v>0</v>
      </c>
      <c r="L108" s="583">
        <f>'Resultater detaljert Bygg'!AC110</f>
        <v>0</v>
      </c>
      <c r="M108" s="583">
        <f>'Resultater detaljert Bygg'!AD110</f>
        <v>0</v>
      </c>
      <c r="N108" s="584">
        <f>SUM('Resultater detaljert Bygg'!AE110:AF110)</f>
        <v>0</v>
      </c>
    </row>
    <row r="109" spans="2:14">
      <c r="B109" s="339">
        <f>'Inndata Bygg'!B114</f>
        <v>0</v>
      </c>
      <c r="C109" s="340">
        <f>'Inndata Bygg'!C114</f>
        <v>0</v>
      </c>
      <c r="D109" s="340">
        <f>'Inndata Bygg'!D114</f>
        <v>0</v>
      </c>
      <c r="E109" s="340"/>
      <c r="F109" s="581">
        <f t="array" ref="F109">SUM(IFERROR(G109:N109,0))</f>
        <v>0</v>
      </c>
      <c r="G109" s="582">
        <f>'Inndata Bygg'!E114</f>
        <v>0</v>
      </c>
      <c r="H109" s="583">
        <f>SUM('Resultater detaljert Bygg'!N111:P111)</f>
        <v>0</v>
      </c>
      <c r="I109" s="584">
        <f>SUM('Resultater detaljert Bygg'!Q111:U111)</f>
        <v>0</v>
      </c>
      <c r="J109" s="582">
        <f>SUM('Resultater detaljert Bygg'!X111:AB111)</f>
        <v>0</v>
      </c>
      <c r="K109" s="584">
        <f>SUM('Resultater detaljert Bygg'!V111:W111)</f>
        <v>0</v>
      </c>
      <c r="L109" s="583">
        <f>'Resultater detaljert Bygg'!AC111</f>
        <v>0</v>
      </c>
      <c r="M109" s="583">
        <f>'Resultater detaljert Bygg'!AD111</f>
        <v>0</v>
      </c>
      <c r="N109" s="584">
        <f>SUM('Resultater detaljert Bygg'!AE111:AF111)</f>
        <v>0</v>
      </c>
    </row>
    <row r="110" spans="2:14">
      <c r="B110" s="339">
        <f>'Inndata Bygg'!B115</f>
        <v>0</v>
      </c>
      <c r="C110" s="340">
        <f>'Inndata Bygg'!C115</f>
        <v>0</v>
      </c>
      <c r="D110" s="340">
        <f>'Inndata Bygg'!D115</f>
        <v>0</v>
      </c>
      <c r="E110" s="340"/>
      <c r="F110" s="581">
        <f t="array" ref="F110">SUM(IFERROR(G110:N110,0))</f>
        <v>0</v>
      </c>
      <c r="G110" s="582">
        <f>'Inndata Bygg'!E115</f>
        <v>0</v>
      </c>
      <c r="H110" s="583">
        <f>SUM('Resultater detaljert Bygg'!N112:P112)</f>
        <v>0</v>
      </c>
      <c r="I110" s="584">
        <f>SUM('Resultater detaljert Bygg'!Q112:U112)</f>
        <v>0</v>
      </c>
      <c r="J110" s="582">
        <f>SUM('Resultater detaljert Bygg'!X112:AB112)</f>
        <v>0</v>
      </c>
      <c r="K110" s="584">
        <f>SUM('Resultater detaljert Bygg'!V112:W112)</f>
        <v>0</v>
      </c>
      <c r="L110" s="583">
        <f>'Resultater detaljert Bygg'!AC112</f>
        <v>0</v>
      </c>
      <c r="M110" s="583">
        <f>'Resultater detaljert Bygg'!AD112</f>
        <v>0</v>
      </c>
      <c r="N110" s="584">
        <f>SUM('Resultater detaljert Bygg'!AE112:AF112)</f>
        <v>0</v>
      </c>
    </row>
    <row r="111" spans="2:14">
      <c r="B111" s="339">
        <f>'Inndata Bygg'!B116</f>
        <v>0</v>
      </c>
      <c r="C111" s="340">
        <f>'Inndata Bygg'!C116</f>
        <v>0</v>
      </c>
      <c r="D111" s="340">
        <f>'Inndata Bygg'!D116</f>
        <v>0</v>
      </c>
      <c r="E111" s="340"/>
      <c r="F111" s="581">
        <f t="array" ref="F111">SUM(IFERROR(G111:N111,0))</f>
        <v>0</v>
      </c>
      <c r="G111" s="582">
        <f>'Inndata Bygg'!E116</f>
        <v>0</v>
      </c>
      <c r="H111" s="583">
        <f>SUM('Resultater detaljert Bygg'!N113:P113)</f>
        <v>0</v>
      </c>
      <c r="I111" s="584">
        <f>SUM('Resultater detaljert Bygg'!Q113:U113)</f>
        <v>0</v>
      </c>
      <c r="J111" s="582">
        <f>SUM('Resultater detaljert Bygg'!X113:AB113)</f>
        <v>0</v>
      </c>
      <c r="K111" s="584">
        <f>SUM('Resultater detaljert Bygg'!V113:W113)</f>
        <v>0</v>
      </c>
      <c r="L111" s="583">
        <f>'Resultater detaljert Bygg'!AC113</f>
        <v>0</v>
      </c>
      <c r="M111" s="583">
        <f>'Resultater detaljert Bygg'!AD113</f>
        <v>0</v>
      </c>
      <c r="N111" s="584">
        <f>SUM('Resultater detaljert Bygg'!AE113:AF113)</f>
        <v>0</v>
      </c>
    </row>
    <row r="112" spans="2:14">
      <c r="B112" s="339">
        <f>'Inndata Bygg'!B117</f>
        <v>0</v>
      </c>
      <c r="C112" s="340">
        <f>'Inndata Bygg'!C117</f>
        <v>0</v>
      </c>
      <c r="D112" s="340">
        <f>'Inndata Bygg'!D117</f>
        <v>0</v>
      </c>
      <c r="E112" s="340"/>
      <c r="F112" s="581">
        <f t="array" ref="F112">SUM(IFERROR(G112:N112,0))</f>
        <v>0</v>
      </c>
      <c r="G112" s="582">
        <f>'Inndata Bygg'!E117</f>
        <v>0</v>
      </c>
      <c r="H112" s="583">
        <f>SUM('Resultater detaljert Bygg'!N114:P114)</f>
        <v>0</v>
      </c>
      <c r="I112" s="584">
        <f>SUM('Resultater detaljert Bygg'!Q114:U114)</f>
        <v>0</v>
      </c>
      <c r="J112" s="582">
        <f>SUM('Resultater detaljert Bygg'!X114:AB114)</f>
        <v>0</v>
      </c>
      <c r="K112" s="584">
        <f>SUM('Resultater detaljert Bygg'!V114:W114)</f>
        <v>0</v>
      </c>
      <c r="L112" s="583">
        <f>'Resultater detaljert Bygg'!AC114</f>
        <v>0</v>
      </c>
      <c r="M112" s="583">
        <f>'Resultater detaljert Bygg'!AD114</f>
        <v>0</v>
      </c>
      <c r="N112" s="584">
        <f>SUM('Resultater detaljert Bygg'!AE114:AF114)</f>
        <v>0</v>
      </c>
    </row>
    <row r="113" spans="2:14">
      <c r="B113" s="339">
        <f>'Inndata Bygg'!B118</f>
        <v>0</v>
      </c>
      <c r="C113" s="340">
        <f>'Inndata Bygg'!C118</f>
        <v>0</v>
      </c>
      <c r="D113" s="340">
        <f>'Inndata Bygg'!D118</f>
        <v>0</v>
      </c>
      <c r="E113" s="340"/>
      <c r="F113" s="581">
        <f t="array" ref="F113">SUM(IFERROR(G113:N113,0))</f>
        <v>0</v>
      </c>
      <c r="G113" s="582">
        <f>'Inndata Bygg'!E118</f>
        <v>0</v>
      </c>
      <c r="H113" s="583">
        <f>SUM('Resultater detaljert Bygg'!N115:P115)</f>
        <v>0</v>
      </c>
      <c r="I113" s="584">
        <f>SUM('Resultater detaljert Bygg'!Q115:U115)</f>
        <v>0</v>
      </c>
      <c r="J113" s="582">
        <f>SUM('Resultater detaljert Bygg'!X115:AB115)</f>
        <v>0</v>
      </c>
      <c r="K113" s="584">
        <f>SUM('Resultater detaljert Bygg'!V115:W115)</f>
        <v>0</v>
      </c>
      <c r="L113" s="583">
        <f>'Resultater detaljert Bygg'!AC115</f>
        <v>0</v>
      </c>
      <c r="M113" s="583">
        <f>'Resultater detaljert Bygg'!AD115</f>
        <v>0</v>
      </c>
      <c r="N113" s="584">
        <f>SUM('Resultater detaljert Bygg'!AE115:AF115)</f>
        <v>0</v>
      </c>
    </row>
    <row r="114" spans="2:14">
      <c r="B114" s="339">
        <f>'Inndata Bygg'!B119</f>
        <v>0</v>
      </c>
      <c r="C114" s="340">
        <f>'Inndata Bygg'!C119</f>
        <v>0</v>
      </c>
      <c r="D114" s="340">
        <f>'Inndata Bygg'!D119</f>
        <v>0</v>
      </c>
      <c r="E114" s="340"/>
      <c r="F114" s="581">
        <f t="array" ref="F114">SUM(IFERROR(G114:N114,0))</f>
        <v>0</v>
      </c>
      <c r="G114" s="582">
        <f>'Inndata Bygg'!E119</f>
        <v>0</v>
      </c>
      <c r="H114" s="583">
        <f>SUM('Resultater detaljert Bygg'!N116:P116)</f>
        <v>0</v>
      </c>
      <c r="I114" s="584">
        <f>SUM('Resultater detaljert Bygg'!Q116:U116)</f>
        <v>0</v>
      </c>
      <c r="J114" s="582">
        <f>SUM('Resultater detaljert Bygg'!X116:AB116)</f>
        <v>0</v>
      </c>
      <c r="K114" s="584">
        <f>SUM('Resultater detaljert Bygg'!V116:W116)</f>
        <v>0</v>
      </c>
      <c r="L114" s="583">
        <f>'Resultater detaljert Bygg'!AC116</f>
        <v>0</v>
      </c>
      <c r="M114" s="583">
        <f>'Resultater detaljert Bygg'!AD116</f>
        <v>0</v>
      </c>
      <c r="N114" s="584">
        <f>SUM('Resultater detaljert Bygg'!AE116:AF116)</f>
        <v>0</v>
      </c>
    </row>
    <row r="115" spans="2:14">
      <c r="B115" s="339">
        <f>'Inndata Bygg'!B120</f>
        <v>0</v>
      </c>
      <c r="C115" s="340">
        <f>'Inndata Bygg'!C120</f>
        <v>0</v>
      </c>
      <c r="D115" s="340">
        <f>'Inndata Bygg'!D120</f>
        <v>0</v>
      </c>
      <c r="E115" s="340"/>
      <c r="F115" s="581">
        <f t="array" ref="F115">SUM(IFERROR(G115:N115,0))</f>
        <v>0</v>
      </c>
      <c r="G115" s="582">
        <f>'Inndata Bygg'!E120</f>
        <v>0</v>
      </c>
      <c r="H115" s="583">
        <f>SUM('Resultater detaljert Bygg'!N117:P117)</f>
        <v>0</v>
      </c>
      <c r="I115" s="584">
        <f>SUM('Resultater detaljert Bygg'!Q117:U117)</f>
        <v>0</v>
      </c>
      <c r="J115" s="582">
        <f>SUM('Resultater detaljert Bygg'!X117:AB117)</f>
        <v>0</v>
      </c>
      <c r="K115" s="584">
        <f>SUM('Resultater detaljert Bygg'!V117:W117)</f>
        <v>0</v>
      </c>
      <c r="L115" s="583">
        <f>'Resultater detaljert Bygg'!AC117</f>
        <v>0</v>
      </c>
      <c r="M115" s="583">
        <f>'Resultater detaljert Bygg'!AD117</f>
        <v>0</v>
      </c>
      <c r="N115" s="584">
        <f>SUM('Resultater detaljert Bygg'!AE117:AF117)</f>
        <v>0</v>
      </c>
    </row>
    <row r="116" spans="2:14">
      <c r="B116" s="339">
        <f>'Inndata Bygg'!B121</f>
        <v>0</v>
      </c>
      <c r="C116" s="340">
        <f>'Inndata Bygg'!C121</f>
        <v>0</v>
      </c>
      <c r="D116" s="340">
        <f>'Inndata Bygg'!D121</f>
        <v>0</v>
      </c>
      <c r="E116" s="340"/>
      <c r="F116" s="581">
        <f t="array" ref="F116">SUM(IFERROR(G116:N116,0))</f>
        <v>0</v>
      </c>
      <c r="G116" s="582">
        <f>'Inndata Bygg'!E121</f>
        <v>0</v>
      </c>
      <c r="H116" s="583">
        <f>SUM('Resultater detaljert Bygg'!N118:P118)</f>
        <v>0</v>
      </c>
      <c r="I116" s="584">
        <f>SUM('Resultater detaljert Bygg'!Q118:U118)</f>
        <v>0</v>
      </c>
      <c r="J116" s="582">
        <f>SUM('Resultater detaljert Bygg'!X118:AB118)</f>
        <v>0</v>
      </c>
      <c r="K116" s="584">
        <f>SUM('Resultater detaljert Bygg'!V118:W118)</f>
        <v>0</v>
      </c>
      <c r="L116" s="583">
        <f>'Resultater detaljert Bygg'!AC118</f>
        <v>0</v>
      </c>
      <c r="M116" s="583">
        <f>'Resultater detaljert Bygg'!AD118</f>
        <v>0</v>
      </c>
      <c r="N116" s="584">
        <f>SUM('Resultater detaljert Bygg'!AE118:AF118)</f>
        <v>0</v>
      </c>
    </row>
    <row r="117" spans="2:14">
      <c r="B117" s="339">
        <f>'Inndata Bygg'!B122</f>
        <v>0</v>
      </c>
      <c r="C117" s="340">
        <f>'Inndata Bygg'!C122</f>
        <v>0</v>
      </c>
      <c r="D117" s="340">
        <f>'Inndata Bygg'!D122</f>
        <v>0</v>
      </c>
      <c r="E117" s="340"/>
      <c r="F117" s="581">
        <f t="array" ref="F117">SUM(IFERROR(G117:N117,0))</f>
        <v>0</v>
      </c>
      <c r="G117" s="582">
        <f>'Inndata Bygg'!E122</f>
        <v>0</v>
      </c>
      <c r="H117" s="583">
        <f>SUM('Resultater detaljert Bygg'!N119:P119)</f>
        <v>0</v>
      </c>
      <c r="I117" s="584">
        <f>SUM('Resultater detaljert Bygg'!Q119:U119)</f>
        <v>0</v>
      </c>
      <c r="J117" s="582">
        <f>SUM('Resultater detaljert Bygg'!X119:AB119)</f>
        <v>0</v>
      </c>
      <c r="K117" s="584">
        <f>SUM('Resultater detaljert Bygg'!V119:W119)</f>
        <v>0</v>
      </c>
      <c r="L117" s="583">
        <f>'Resultater detaljert Bygg'!AC119</f>
        <v>0</v>
      </c>
      <c r="M117" s="583">
        <f>'Resultater detaljert Bygg'!AD119</f>
        <v>0</v>
      </c>
      <c r="N117" s="584">
        <f>SUM('Resultater detaljert Bygg'!AE119:AF119)</f>
        <v>0</v>
      </c>
    </row>
    <row r="118" spans="2:14">
      <c r="B118" s="339">
        <f>'Inndata Bygg'!B123</f>
        <v>0</v>
      </c>
      <c r="C118" s="340">
        <f>'Inndata Bygg'!C123</f>
        <v>0</v>
      </c>
      <c r="D118" s="340">
        <f>'Inndata Bygg'!D123</f>
        <v>0</v>
      </c>
      <c r="E118" s="340"/>
      <c r="F118" s="581">
        <f t="array" ref="F118">SUM(IFERROR(G118:N118,0))</f>
        <v>0</v>
      </c>
      <c r="G118" s="582">
        <f>'Inndata Bygg'!E123</f>
        <v>0</v>
      </c>
      <c r="H118" s="583">
        <f>SUM('Resultater detaljert Bygg'!N120:P120)</f>
        <v>0</v>
      </c>
      <c r="I118" s="584">
        <f>SUM('Resultater detaljert Bygg'!Q120:U120)</f>
        <v>0</v>
      </c>
      <c r="J118" s="582">
        <f>SUM('Resultater detaljert Bygg'!X120:AB120)</f>
        <v>0</v>
      </c>
      <c r="K118" s="584">
        <f>SUM('Resultater detaljert Bygg'!V120:W120)</f>
        <v>0</v>
      </c>
      <c r="L118" s="583">
        <f>'Resultater detaljert Bygg'!AC120</f>
        <v>0</v>
      </c>
      <c r="M118" s="583">
        <f>'Resultater detaljert Bygg'!AD120</f>
        <v>0</v>
      </c>
      <c r="N118" s="584">
        <f>SUM('Resultater detaljert Bygg'!AE120:AF120)</f>
        <v>0</v>
      </c>
    </row>
    <row r="119" spans="2:14">
      <c r="B119" s="339">
        <f>'Inndata Bygg'!B124</f>
        <v>0</v>
      </c>
      <c r="C119" s="340">
        <f>'Inndata Bygg'!C124</f>
        <v>0</v>
      </c>
      <c r="D119" s="340">
        <f>'Inndata Bygg'!D124</f>
        <v>0</v>
      </c>
      <c r="E119" s="340"/>
      <c r="F119" s="581">
        <f t="array" ref="F119">SUM(IFERROR(G119:N119,0))</f>
        <v>0</v>
      </c>
      <c r="G119" s="582">
        <f>'Inndata Bygg'!E124</f>
        <v>0</v>
      </c>
      <c r="H119" s="583">
        <f>SUM('Resultater detaljert Bygg'!N121:P121)</f>
        <v>0</v>
      </c>
      <c r="I119" s="584">
        <f>SUM('Resultater detaljert Bygg'!Q121:U121)</f>
        <v>0</v>
      </c>
      <c r="J119" s="582">
        <f>SUM('Resultater detaljert Bygg'!X121:AB121)</f>
        <v>0</v>
      </c>
      <c r="K119" s="584">
        <f>SUM('Resultater detaljert Bygg'!V121:W121)</f>
        <v>0</v>
      </c>
      <c r="L119" s="583">
        <f>'Resultater detaljert Bygg'!AC121</f>
        <v>0</v>
      </c>
      <c r="M119" s="583">
        <f>'Resultater detaljert Bygg'!AD121</f>
        <v>0</v>
      </c>
      <c r="N119" s="584">
        <f>SUM('Resultater detaljert Bygg'!AE121:AF121)</f>
        <v>0</v>
      </c>
    </row>
    <row r="120" spans="2:14">
      <c r="B120" s="339">
        <f>'Inndata Bygg'!B125</f>
        <v>0</v>
      </c>
      <c r="C120" s="340">
        <f>'Inndata Bygg'!C125</f>
        <v>0</v>
      </c>
      <c r="D120" s="340">
        <f>'Inndata Bygg'!D125</f>
        <v>0</v>
      </c>
      <c r="E120" s="340"/>
      <c r="F120" s="581">
        <f t="array" ref="F120">SUM(IFERROR(G120:N120,0))</f>
        <v>0</v>
      </c>
      <c r="G120" s="582">
        <f>'Inndata Bygg'!E125</f>
        <v>0</v>
      </c>
      <c r="H120" s="583">
        <f>SUM('Resultater detaljert Bygg'!N122:P122)</f>
        <v>0</v>
      </c>
      <c r="I120" s="584">
        <f>SUM('Resultater detaljert Bygg'!Q122:U122)</f>
        <v>0</v>
      </c>
      <c r="J120" s="582">
        <f>SUM('Resultater detaljert Bygg'!X122:AB122)</f>
        <v>0</v>
      </c>
      <c r="K120" s="584">
        <f>SUM('Resultater detaljert Bygg'!V122:W122)</f>
        <v>0</v>
      </c>
      <c r="L120" s="583">
        <f>'Resultater detaljert Bygg'!AC122</f>
        <v>0</v>
      </c>
      <c r="M120" s="583">
        <f>'Resultater detaljert Bygg'!AD122</f>
        <v>0</v>
      </c>
      <c r="N120" s="584">
        <f>SUM('Resultater detaljert Bygg'!AE122:AF122)</f>
        <v>0</v>
      </c>
    </row>
    <row r="121" spans="2:14">
      <c r="B121" s="339">
        <f>'Inndata Bygg'!B126</f>
        <v>0</v>
      </c>
      <c r="C121" s="340">
        <f>'Inndata Bygg'!C126</f>
        <v>0</v>
      </c>
      <c r="D121" s="340">
        <f>'Inndata Bygg'!D126</f>
        <v>0</v>
      </c>
      <c r="E121" s="340"/>
      <c r="F121" s="581">
        <f t="array" ref="F121">SUM(IFERROR(G121:N121,0))</f>
        <v>0</v>
      </c>
      <c r="G121" s="582">
        <f>'Inndata Bygg'!E126</f>
        <v>0</v>
      </c>
      <c r="H121" s="583">
        <f>SUM('Resultater detaljert Bygg'!N123:P123)</f>
        <v>0</v>
      </c>
      <c r="I121" s="584">
        <f>SUM('Resultater detaljert Bygg'!Q123:U123)</f>
        <v>0</v>
      </c>
      <c r="J121" s="582">
        <f>SUM('Resultater detaljert Bygg'!X123:AB123)</f>
        <v>0</v>
      </c>
      <c r="K121" s="584">
        <f>SUM('Resultater detaljert Bygg'!V123:W123)</f>
        <v>0</v>
      </c>
      <c r="L121" s="583">
        <f>'Resultater detaljert Bygg'!AC123</f>
        <v>0</v>
      </c>
      <c r="M121" s="583">
        <f>'Resultater detaljert Bygg'!AD123</f>
        <v>0</v>
      </c>
      <c r="N121" s="584">
        <f>SUM('Resultater detaljert Bygg'!AE123:AF123)</f>
        <v>0</v>
      </c>
    </row>
    <row r="122" spans="2:14">
      <c r="B122" s="339">
        <f>'Inndata Bygg'!B127</f>
        <v>0</v>
      </c>
      <c r="C122" s="340">
        <f>'Inndata Bygg'!C127</f>
        <v>0</v>
      </c>
      <c r="D122" s="340">
        <f>'Inndata Bygg'!D127</f>
        <v>0</v>
      </c>
      <c r="E122" s="340"/>
      <c r="F122" s="581">
        <f t="array" ref="F122">SUM(IFERROR(G122:N122,0))</f>
        <v>0</v>
      </c>
      <c r="G122" s="582">
        <f>'Inndata Bygg'!E127</f>
        <v>0</v>
      </c>
      <c r="H122" s="583">
        <f>SUM('Resultater detaljert Bygg'!N124:P124)</f>
        <v>0</v>
      </c>
      <c r="I122" s="584">
        <f>SUM('Resultater detaljert Bygg'!Q124:U124)</f>
        <v>0</v>
      </c>
      <c r="J122" s="582">
        <f>SUM('Resultater detaljert Bygg'!X124:AB124)</f>
        <v>0</v>
      </c>
      <c r="K122" s="584">
        <f>SUM('Resultater detaljert Bygg'!V124:W124)</f>
        <v>0</v>
      </c>
      <c r="L122" s="583">
        <f>'Resultater detaljert Bygg'!AC124</f>
        <v>0</v>
      </c>
      <c r="M122" s="583">
        <f>'Resultater detaljert Bygg'!AD124</f>
        <v>0</v>
      </c>
      <c r="N122" s="584">
        <f>SUM('Resultater detaljert Bygg'!AE124:AF124)</f>
        <v>0</v>
      </c>
    </row>
    <row r="123" spans="2:14">
      <c r="B123" s="339">
        <f>'Inndata Bygg'!B128</f>
        <v>0</v>
      </c>
      <c r="C123" s="340">
        <f>'Inndata Bygg'!C128</f>
        <v>0</v>
      </c>
      <c r="D123" s="340">
        <f>'Inndata Bygg'!D128</f>
        <v>0</v>
      </c>
      <c r="E123" s="340"/>
      <c r="F123" s="581">
        <f t="array" ref="F123">SUM(IFERROR(G123:N123,0))</f>
        <v>0</v>
      </c>
      <c r="G123" s="582">
        <f>'Inndata Bygg'!E128</f>
        <v>0</v>
      </c>
      <c r="H123" s="583">
        <f>SUM('Resultater detaljert Bygg'!N125:P125)</f>
        <v>0</v>
      </c>
      <c r="I123" s="584">
        <f>SUM('Resultater detaljert Bygg'!Q125:U125)</f>
        <v>0</v>
      </c>
      <c r="J123" s="582">
        <f>SUM('Resultater detaljert Bygg'!X125:AB125)</f>
        <v>0</v>
      </c>
      <c r="K123" s="584">
        <f>SUM('Resultater detaljert Bygg'!V125:W125)</f>
        <v>0</v>
      </c>
      <c r="L123" s="583">
        <f>'Resultater detaljert Bygg'!AC125</f>
        <v>0</v>
      </c>
      <c r="M123" s="583">
        <f>'Resultater detaljert Bygg'!AD125</f>
        <v>0</v>
      </c>
      <c r="N123" s="584">
        <f>SUM('Resultater detaljert Bygg'!AE125:AF125)</f>
        <v>0</v>
      </c>
    </row>
    <row r="124" spans="2:14">
      <c r="B124" s="339">
        <f>'Inndata Bygg'!B129</f>
        <v>0</v>
      </c>
      <c r="C124" s="340">
        <f>'Inndata Bygg'!C129</f>
        <v>0</v>
      </c>
      <c r="D124" s="340">
        <f>'Inndata Bygg'!D129</f>
        <v>0</v>
      </c>
      <c r="E124" s="340"/>
      <c r="F124" s="581">
        <f t="array" ref="F124">SUM(IFERROR(G124:N124,0))</f>
        <v>0</v>
      </c>
      <c r="G124" s="582">
        <f>'Inndata Bygg'!E129</f>
        <v>0</v>
      </c>
      <c r="H124" s="583">
        <f>SUM('Resultater detaljert Bygg'!N126:P126)</f>
        <v>0</v>
      </c>
      <c r="I124" s="584">
        <f>SUM('Resultater detaljert Bygg'!Q126:U126)</f>
        <v>0</v>
      </c>
      <c r="J124" s="582">
        <f>SUM('Resultater detaljert Bygg'!X126:AB126)</f>
        <v>0</v>
      </c>
      <c r="K124" s="584">
        <f>SUM('Resultater detaljert Bygg'!V126:W126)</f>
        <v>0</v>
      </c>
      <c r="L124" s="583">
        <f>'Resultater detaljert Bygg'!AC126</f>
        <v>0</v>
      </c>
      <c r="M124" s="583">
        <f>'Resultater detaljert Bygg'!AD126</f>
        <v>0</v>
      </c>
      <c r="N124" s="584">
        <f>SUM('Resultater detaljert Bygg'!AE126:AF126)</f>
        <v>0</v>
      </c>
    </row>
    <row r="125" spans="2:14">
      <c r="B125" s="339">
        <f>'Inndata Bygg'!B130</f>
        <v>0</v>
      </c>
      <c r="C125" s="340">
        <f>'Inndata Bygg'!C130</f>
        <v>0</v>
      </c>
      <c r="D125" s="340">
        <f>'Inndata Bygg'!D130</f>
        <v>0</v>
      </c>
      <c r="E125" s="340"/>
      <c r="F125" s="581">
        <f t="array" ref="F125">SUM(IFERROR(G125:N125,0))</f>
        <v>0</v>
      </c>
      <c r="G125" s="582">
        <f>'Inndata Bygg'!E130</f>
        <v>0</v>
      </c>
      <c r="H125" s="583">
        <f>SUM('Resultater detaljert Bygg'!N127:P127)</f>
        <v>0</v>
      </c>
      <c r="I125" s="584">
        <f>SUM('Resultater detaljert Bygg'!Q127:U127)</f>
        <v>0</v>
      </c>
      <c r="J125" s="582">
        <f>SUM('Resultater detaljert Bygg'!X127:AB127)</f>
        <v>0</v>
      </c>
      <c r="K125" s="584">
        <f>SUM('Resultater detaljert Bygg'!V127:W127)</f>
        <v>0</v>
      </c>
      <c r="L125" s="583">
        <f>'Resultater detaljert Bygg'!AC127</f>
        <v>0</v>
      </c>
      <c r="M125" s="583">
        <f>'Resultater detaljert Bygg'!AD127</f>
        <v>0</v>
      </c>
      <c r="N125" s="584">
        <f>SUM('Resultater detaljert Bygg'!AE127:AF127)</f>
        <v>0</v>
      </c>
    </row>
    <row r="126" spans="2:14">
      <c r="B126" s="339">
        <f>'Inndata Bygg'!B131</f>
        <v>0</v>
      </c>
      <c r="C126" s="340">
        <f>'Inndata Bygg'!C131</f>
        <v>0</v>
      </c>
      <c r="D126" s="340">
        <f>'Inndata Bygg'!D131</f>
        <v>0</v>
      </c>
      <c r="E126" s="340"/>
      <c r="F126" s="581">
        <f t="array" ref="F126">SUM(IFERROR(G126:N126,0))</f>
        <v>0</v>
      </c>
      <c r="G126" s="582">
        <f>'Inndata Bygg'!E131</f>
        <v>0</v>
      </c>
      <c r="H126" s="583">
        <f>SUM('Resultater detaljert Bygg'!N128:P128)</f>
        <v>0</v>
      </c>
      <c r="I126" s="584">
        <f>SUM('Resultater detaljert Bygg'!Q128:U128)</f>
        <v>0</v>
      </c>
      <c r="J126" s="582">
        <f>SUM('Resultater detaljert Bygg'!X128:AB128)</f>
        <v>0</v>
      </c>
      <c r="K126" s="584">
        <f>SUM('Resultater detaljert Bygg'!V128:W128)</f>
        <v>0</v>
      </c>
      <c r="L126" s="583">
        <f>'Resultater detaljert Bygg'!AC128</f>
        <v>0</v>
      </c>
      <c r="M126" s="583">
        <f>'Resultater detaljert Bygg'!AD128</f>
        <v>0</v>
      </c>
      <c r="N126" s="584">
        <f>SUM('Resultater detaljert Bygg'!AE128:AF128)</f>
        <v>0</v>
      </c>
    </row>
    <row r="127" spans="2:14">
      <c r="B127" s="339">
        <f>'Inndata Bygg'!B132</f>
        <v>0</v>
      </c>
      <c r="C127" s="340">
        <f>'Inndata Bygg'!C132</f>
        <v>0</v>
      </c>
      <c r="D127" s="340">
        <f>'Inndata Bygg'!D132</f>
        <v>0</v>
      </c>
      <c r="E127" s="340"/>
      <c r="F127" s="581">
        <f t="array" ref="F127">SUM(IFERROR(G127:N127,0))</f>
        <v>0</v>
      </c>
      <c r="G127" s="582">
        <f>'Inndata Bygg'!E132</f>
        <v>0</v>
      </c>
      <c r="H127" s="583">
        <f>SUM('Resultater detaljert Bygg'!N129:P129)</f>
        <v>0</v>
      </c>
      <c r="I127" s="584">
        <f>SUM('Resultater detaljert Bygg'!Q129:U129)</f>
        <v>0</v>
      </c>
      <c r="J127" s="582">
        <f>SUM('Resultater detaljert Bygg'!X129:AB129)</f>
        <v>0</v>
      </c>
      <c r="K127" s="584">
        <f>SUM('Resultater detaljert Bygg'!V129:W129)</f>
        <v>0</v>
      </c>
      <c r="L127" s="583">
        <f>'Resultater detaljert Bygg'!AC129</f>
        <v>0</v>
      </c>
      <c r="M127" s="583">
        <f>'Resultater detaljert Bygg'!AD129</f>
        <v>0</v>
      </c>
      <c r="N127" s="584">
        <f>SUM('Resultater detaljert Bygg'!AE129:AF129)</f>
        <v>0</v>
      </c>
    </row>
    <row r="128" spans="2:14">
      <c r="B128" s="339">
        <f>'Inndata Bygg'!B133</f>
        <v>0</v>
      </c>
      <c r="C128" s="340">
        <f>'Inndata Bygg'!C133</f>
        <v>0</v>
      </c>
      <c r="D128" s="340">
        <f>'Inndata Bygg'!D133</f>
        <v>0</v>
      </c>
      <c r="E128" s="340"/>
      <c r="F128" s="581">
        <f t="array" ref="F128">SUM(IFERROR(G128:N128,0))</f>
        <v>0</v>
      </c>
      <c r="G128" s="582">
        <f>'Inndata Bygg'!E133</f>
        <v>0</v>
      </c>
      <c r="H128" s="583">
        <f>SUM('Resultater detaljert Bygg'!N130:P130)</f>
        <v>0</v>
      </c>
      <c r="I128" s="584">
        <f>SUM('Resultater detaljert Bygg'!Q130:U130)</f>
        <v>0</v>
      </c>
      <c r="J128" s="582">
        <f>SUM('Resultater detaljert Bygg'!X130:AB130)</f>
        <v>0</v>
      </c>
      <c r="K128" s="584">
        <f>SUM('Resultater detaljert Bygg'!V130:W130)</f>
        <v>0</v>
      </c>
      <c r="L128" s="583">
        <f>'Resultater detaljert Bygg'!AC130</f>
        <v>0</v>
      </c>
      <c r="M128" s="583">
        <f>'Resultater detaljert Bygg'!AD130</f>
        <v>0</v>
      </c>
      <c r="N128" s="584">
        <f>SUM('Resultater detaljert Bygg'!AE130:AF130)</f>
        <v>0</v>
      </c>
    </row>
    <row r="129" spans="2:14">
      <c r="B129" s="339">
        <f>'Inndata Bygg'!B134</f>
        <v>0</v>
      </c>
      <c r="C129" s="340">
        <f>'Inndata Bygg'!C134</f>
        <v>0</v>
      </c>
      <c r="D129" s="340">
        <f>'Inndata Bygg'!D134</f>
        <v>0</v>
      </c>
      <c r="E129" s="340"/>
      <c r="F129" s="581">
        <f t="array" ref="F129">SUM(IFERROR(G129:N129,0))</f>
        <v>0</v>
      </c>
      <c r="G129" s="582">
        <f>'Inndata Bygg'!E134</f>
        <v>0</v>
      </c>
      <c r="H129" s="583">
        <f>SUM('Resultater detaljert Bygg'!N131:P131)</f>
        <v>0</v>
      </c>
      <c r="I129" s="584">
        <f>SUM('Resultater detaljert Bygg'!Q131:U131)</f>
        <v>0</v>
      </c>
      <c r="J129" s="582">
        <f>SUM('Resultater detaljert Bygg'!X131:AB131)</f>
        <v>0</v>
      </c>
      <c r="K129" s="584">
        <f>SUM('Resultater detaljert Bygg'!V131:W131)</f>
        <v>0</v>
      </c>
      <c r="L129" s="583">
        <f>'Resultater detaljert Bygg'!AC131</f>
        <v>0</v>
      </c>
      <c r="M129" s="583">
        <f>'Resultater detaljert Bygg'!AD131</f>
        <v>0</v>
      </c>
      <c r="N129" s="584">
        <f>SUM('Resultater detaljert Bygg'!AE131:AF131)</f>
        <v>0</v>
      </c>
    </row>
    <row r="130" spans="2:14">
      <c r="B130" s="339">
        <f>'Inndata Bygg'!B135</f>
        <v>0</v>
      </c>
      <c r="C130" s="340">
        <f>'Inndata Bygg'!C135</f>
        <v>0</v>
      </c>
      <c r="D130" s="340">
        <f>'Inndata Bygg'!D135</f>
        <v>0</v>
      </c>
      <c r="E130" s="340"/>
      <c r="F130" s="581">
        <f t="array" ref="F130">SUM(IFERROR(G130:N130,0))</f>
        <v>0</v>
      </c>
      <c r="G130" s="582">
        <f>'Inndata Bygg'!E135</f>
        <v>0</v>
      </c>
      <c r="H130" s="583">
        <f>SUM('Resultater detaljert Bygg'!N132:P132)</f>
        <v>0</v>
      </c>
      <c r="I130" s="584">
        <f>SUM('Resultater detaljert Bygg'!Q132:U132)</f>
        <v>0</v>
      </c>
      <c r="J130" s="582">
        <f>SUM('Resultater detaljert Bygg'!X132:AB132)</f>
        <v>0</v>
      </c>
      <c r="K130" s="584">
        <f>SUM('Resultater detaljert Bygg'!V132:W132)</f>
        <v>0</v>
      </c>
      <c r="L130" s="583">
        <f>'Resultater detaljert Bygg'!AC132</f>
        <v>0</v>
      </c>
      <c r="M130" s="583">
        <f>'Resultater detaljert Bygg'!AD132</f>
        <v>0</v>
      </c>
      <c r="N130" s="584">
        <f>SUM('Resultater detaljert Bygg'!AE132:AF132)</f>
        <v>0</v>
      </c>
    </row>
    <row r="131" spans="2:14">
      <c r="B131" s="339">
        <f>'Inndata Bygg'!B136</f>
        <v>0</v>
      </c>
      <c r="C131" s="340">
        <f>'Inndata Bygg'!C136</f>
        <v>0</v>
      </c>
      <c r="D131" s="340">
        <f>'Inndata Bygg'!D136</f>
        <v>0</v>
      </c>
      <c r="E131" s="340"/>
      <c r="F131" s="581">
        <f t="array" ref="F131">SUM(IFERROR(G131:N131,0))</f>
        <v>0</v>
      </c>
      <c r="G131" s="582">
        <f>'Inndata Bygg'!E136</f>
        <v>0</v>
      </c>
      <c r="H131" s="583">
        <f>SUM('Resultater detaljert Bygg'!N133:P133)</f>
        <v>0</v>
      </c>
      <c r="I131" s="584">
        <f>SUM('Resultater detaljert Bygg'!Q133:U133)</f>
        <v>0</v>
      </c>
      <c r="J131" s="582">
        <f>SUM('Resultater detaljert Bygg'!X133:AB133)</f>
        <v>0</v>
      </c>
      <c r="K131" s="584">
        <f>SUM('Resultater detaljert Bygg'!V133:W133)</f>
        <v>0</v>
      </c>
      <c r="L131" s="583">
        <f>'Resultater detaljert Bygg'!AC133</f>
        <v>0</v>
      </c>
      <c r="M131" s="583">
        <f>'Resultater detaljert Bygg'!AD133</f>
        <v>0</v>
      </c>
      <c r="N131" s="584">
        <f>SUM('Resultater detaljert Bygg'!AE133:AF133)</f>
        <v>0</v>
      </c>
    </row>
    <row r="132" spans="2:14">
      <c r="B132" s="339">
        <f>'Inndata Bygg'!B137</f>
        <v>0</v>
      </c>
      <c r="C132" s="340">
        <f>'Inndata Bygg'!C137</f>
        <v>0</v>
      </c>
      <c r="D132" s="340">
        <f>'Inndata Bygg'!D137</f>
        <v>0</v>
      </c>
      <c r="E132" s="340"/>
      <c r="F132" s="581">
        <f t="array" ref="F132">SUM(IFERROR(G132:N132,0))</f>
        <v>0</v>
      </c>
      <c r="G132" s="582">
        <f>'Inndata Bygg'!E137</f>
        <v>0</v>
      </c>
      <c r="H132" s="583">
        <f>SUM('Resultater detaljert Bygg'!N134:P134)</f>
        <v>0</v>
      </c>
      <c r="I132" s="584">
        <f>SUM('Resultater detaljert Bygg'!Q134:U134)</f>
        <v>0</v>
      </c>
      <c r="J132" s="582">
        <f>SUM('Resultater detaljert Bygg'!X134:AB134)</f>
        <v>0</v>
      </c>
      <c r="K132" s="584">
        <f>SUM('Resultater detaljert Bygg'!V134:W134)</f>
        <v>0</v>
      </c>
      <c r="L132" s="583">
        <f>'Resultater detaljert Bygg'!AC134</f>
        <v>0</v>
      </c>
      <c r="M132" s="583">
        <f>'Resultater detaljert Bygg'!AD134</f>
        <v>0</v>
      </c>
      <c r="N132" s="584">
        <f>SUM('Resultater detaljert Bygg'!AE134:AF134)</f>
        <v>0</v>
      </c>
    </row>
    <row r="133" spans="2:14">
      <c r="B133" s="339">
        <f>'Inndata Bygg'!B138</f>
        <v>0</v>
      </c>
      <c r="C133" s="340">
        <f>'Inndata Bygg'!C138</f>
        <v>0</v>
      </c>
      <c r="D133" s="340">
        <f>'Inndata Bygg'!D138</f>
        <v>0</v>
      </c>
      <c r="E133" s="340"/>
      <c r="F133" s="581">
        <f t="array" ref="F133">SUM(IFERROR(G133:N133,0))</f>
        <v>0</v>
      </c>
      <c r="G133" s="582">
        <f>'Inndata Bygg'!E138</f>
        <v>0</v>
      </c>
      <c r="H133" s="583">
        <f>SUM('Resultater detaljert Bygg'!N135:P135)</f>
        <v>0</v>
      </c>
      <c r="I133" s="584">
        <f>SUM('Resultater detaljert Bygg'!Q135:U135)</f>
        <v>0</v>
      </c>
      <c r="J133" s="582">
        <f>SUM('Resultater detaljert Bygg'!X135:AB135)</f>
        <v>0</v>
      </c>
      <c r="K133" s="584">
        <f>SUM('Resultater detaljert Bygg'!V135:W135)</f>
        <v>0</v>
      </c>
      <c r="L133" s="583">
        <f>'Resultater detaljert Bygg'!AC135</f>
        <v>0</v>
      </c>
      <c r="M133" s="583">
        <f>'Resultater detaljert Bygg'!AD135</f>
        <v>0</v>
      </c>
      <c r="N133" s="584">
        <f>SUM('Resultater detaljert Bygg'!AE135:AF135)</f>
        <v>0</v>
      </c>
    </row>
    <row r="134" spans="2:14">
      <c r="B134" s="339">
        <f>'Inndata Bygg'!B139</f>
        <v>0</v>
      </c>
      <c r="C134" s="340">
        <f>'Inndata Bygg'!C139</f>
        <v>0</v>
      </c>
      <c r="D134" s="340">
        <f>'Inndata Bygg'!D139</f>
        <v>0</v>
      </c>
      <c r="E134" s="340"/>
      <c r="F134" s="581">
        <f t="array" ref="F134">SUM(IFERROR(G134:N134,0))</f>
        <v>0</v>
      </c>
      <c r="G134" s="582">
        <f>'Inndata Bygg'!E139</f>
        <v>0</v>
      </c>
      <c r="H134" s="583">
        <f>SUM('Resultater detaljert Bygg'!N136:P136)</f>
        <v>0</v>
      </c>
      <c r="I134" s="584">
        <f>SUM('Resultater detaljert Bygg'!Q136:U136)</f>
        <v>0</v>
      </c>
      <c r="J134" s="582">
        <f>SUM('Resultater detaljert Bygg'!X136:AB136)</f>
        <v>0</v>
      </c>
      <c r="K134" s="584">
        <f>SUM('Resultater detaljert Bygg'!V136:W136)</f>
        <v>0</v>
      </c>
      <c r="L134" s="583">
        <f>'Resultater detaljert Bygg'!AC136</f>
        <v>0</v>
      </c>
      <c r="M134" s="583">
        <f>'Resultater detaljert Bygg'!AD136</f>
        <v>0</v>
      </c>
      <c r="N134" s="584">
        <f>SUM('Resultater detaljert Bygg'!AE136:AF136)</f>
        <v>0</v>
      </c>
    </row>
    <row r="135" spans="2:14">
      <c r="B135" s="339">
        <f>'Inndata Bygg'!B140</f>
        <v>0</v>
      </c>
      <c r="C135" s="340">
        <f>'Inndata Bygg'!C140</f>
        <v>0</v>
      </c>
      <c r="D135" s="340">
        <f>'Inndata Bygg'!D140</f>
        <v>0</v>
      </c>
      <c r="E135" s="340"/>
      <c r="F135" s="581">
        <f t="array" ref="F135">SUM(IFERROR(G135:N135,0))</f>
        <v>0</v>
      </c>
      <c r="G135" s="582">
        <f>'Inndata Bygg'!E140</f>
        <v>0</v>
      </c>
      <c r="H135" s="583">
        <f>SUM('Resultater detaljert Bygg'!N137:P137)</f>
        <v>0</v>
      </c>
      <c r="I135" s="584">
        <f>SUM('Resultater detaljert Bygg'!Q137:U137)</f>
        <v>0</v>
      </c>
      <c r="J135" s="582">
        <f>SUM('Resultater detaljert Bygg'!X137:AB137)</f>
        <v>0</v>
      </c>
      <c r="K135" s="584">
        <f>SUM('Resultater detaljert Bygg'!V137:W137)</f>
        <v>0</v>
      </c>
      <c r="L135" s="583">
        <f>'Resultater detaljert Bygg'!AC137</f>
        <v>0</v>
      </c>
      <c r="M135" s="583">
        <f>'Resultater detaljert Bygg'!AD137</f>
        <v>0</v>
      </c>
      <c r="N135" s="584">
        <f>SUM('Resultater detaljert Bygg'!AE137:AF137)</f>
        <v>0</v>
      </c>
    </row>
    <row r="136" spans="2:14">
      <c r="B136" s="339">
        <f>'Inndata Bygg'!B141</f>
        <v>0</v>
      </c>
      <c r="C136" s="340">
        <f>'Inndata Bygg'!C141</f>
        <v>0</v>
      </c>
      <c r="D136" s="340">
        <f>'Inndata Bygg'!D141</f>
        <v>0</v>
      </c>
      <c r="E136" s="340"/>
      <c r="F136" s="581">
        <f t="array" ref="F136">SUM(IFERROR(G136:N136,0))</f>
        <v>0</v>
      </c>
      <c r="G136" s="582">
        <f>'Inndata Bygg'!E141</f>
        <v>0</v>
      </c>
      <c r="H136" s="583">
        <f>SUM('Resultater detaljert Bygg'!N138:P138)</f>
        <v>0</v>
      </c>
      <c r="I136" s="584">
        <f>SUM('Resultater detaljert Bygg'!Q138:U138)</f>
        <v>0</v>
      </c>
      <c r="J136" s="582">
        <f>SUM('Resultater detaljert Bygg'!X138:AB138)</f>
        <v>0</v>
      </c>
      <c r="K136" s="584">
        <f>SUM('Resultater detaljert Bygg'!V138:W138)</f>
        <v>0</v>
      </c>
      <c r="L136" s="583">
        <f>'Resultater detaljert Bygg'!AC138</f>
        <v>0</v>
      </c>
      <c r="M136" s="583">
        <f>'Resultater detaljert Bygg'!AD138</f>
        <v>0</v>
      </c>
      <c r="N136" s="584">
        <f>SUM('Resultater detaljert Bygg'!AE138:AF138)</f>
        <v>0</v>
      </c>
    </row>
    <row r="137" spans="2:14">
      <c r="B137" s="339">
        <f>'Inndata Bygg'!B142</f>
        <v>0</v>
      </c>
      <c r="C137" s="340">
        <f>'Inndata Bygg'!C142</f>
        <v>0</v>
      </c>
      <c r="D137" s="340">
        <f>'Inndata Bygg'!D142</f>
        <v>0</v>
      </c>
      <c r="E137" s="340"/>
      <c r="F137" s="581">
        <f t="array" ref="F137">SUM(IFERROR(G137:N137,0))</f>
        <v>0</v>
      </c>
      <c r="G137" s="582">
        <f>'Inndata Bygg'!E142</f>
        <v>0</v>
      </c>
      <c r="H137" s="583">
        <f>SUM('Resultater detaljert Bygg'!N139:P139)</f>
        <v>0</v>
      </c>
      <c r="I137" s="584">
        <f>SUM('Resultater detaljert Bygg'!Q139:U139)</f>
        <v>0</v>
      </c>
      <c r="J137" s="582">
        <f>SUM('Resultater detaljert Bygg'!X139:AB139)</f>
        <v>0</v>
      </c>
      <c r="K137" s="584">
        <f>SUM('Resultater detaljert Bygg'!V139:W139)</f>
        <v>0</v>
      </c>
      <c r="L137" s="583">
        <f>'Resultater detaljert Bygg'!AC139</f>
        <v>0</v>
      </c>
      <c r="M137" s="583">
        <f>'Resultater detaljert Bygg'!AD139</f>
        <v>0</v>
      </c>
      <c r="N137" s="584">
        <f>SUM('Resultater detaljert Bygg'!AE139:AF139)</f>
        <v>0</v>
      </c>
    </row>
    <row r="138" spans="2:14">
      <c r="B138" s="339">
        <f>'Inndata Bygg'!B143</f>
        <v>0</v>
      </c>
      <c r="C138" s="340">
        <f>'Inndata Bygg'!C143</f>
        <v>0</v>
      </c>
      <c r="D138" s="340">
        <f>'Inndata Bygg'!D143</f>
        <v>0</v>
      </c>
      <c r="E138" s="340"/>
      <c r="F138" s="581">
        <f t="array" ref="F138">SUM(IFERROR(G138:N138,0))</f>
        <v>0</v>
      </c>
      <c r="G138" s="582">
        <f>'Inndata Bygg'!E143</f>
        <v>0</v>
      </c>
      <c r="H138" s="583">
        <f>SUM('Resultater detaljert Bygg'!N140:P140)</f>
        <v>0</v>
      </c>
      <c r="I138" s="584">
        <f>SUM('Resultater detaljert Bygg'!Q140:U140)</f>
        <v>0</v>
      </c>
      <c r="J138" s="582">
        <f>SUM('Resultater detaljert Bygg'!X140:AB140)</f>
        <v>0</v>
      </c>
      <c r="K138" s="584">
        <f>SUM('Resultater detaljert Bygg'!V140:W140)</f>
        <v>0</v>
      </c>
      <c r="L138" s="583">
        <f>'Resultater detaljert Bygg'!AC140</f>
        <v>0</v>
      </c>
      <c r="M138" s="583">
        <f>'Resultater detaljert Bygg'!AD140</f>
        <v>0</v>
      </c>
      <c r="N138" s="584">
        <f>SUM('Resultater detaljert Bygg'!AE140:AF140)</f>
        <v>0</v>
      </c>
    </row>
    <row r="139" spans="2:14">
      <c r="B139" s="339">
        <f>'Inndata Bygg'!B144</f>
        <v>0</v>
      </c>
      <c r="C139" s="340">
        <f>'Inndata Bygg'!C144</f>
        <v>0</v>
      </c>
      <c r="D139" s="340">
        <f>'Inndata Bygg'!D144</f>
        <v>0</v>
      </c>
      <c r="E139" s="340"/>
      <c r="F139" s="581">
        <f t="array" ref="F139">SUM(IFERROR(G139:N139,0))</f>
        <v>0</v>
      </c>
      <c r="G139" s="582">
        <f>'Inndata Bygg'!E144</f>
        <v>0</v>
      </c>
      <c r="H139" s="583">
        <f>SUM('Resultater detaljert Bygg'!N141:P141)</f>
        <v>0</v>
      </c>
      <c r="I139" s="584">
        <f>SUM('Resultater detaljert Bygg'!Q141:U141)</f>
        <v>0</v>
      </c>
      <c r="J139" s="582">
        <f>SUM('Resultater detaljert Bygg'!X141:AB141)</f>
        <v>0</v>
      </c>
      <c r="K139" s="584">
        <f>SUM('Resultater detaljert Bygg'!V141:W141)</f>
        <v>0</v>
      </c>
      <c r="L139" s="583">
        <f>'Resultater detaljert Bygg'!AC141</f>
        <v>0</v>
      </c>
      <c r="M139" s="583">
        <f>'Resultater detaljert Bygg'!AD141</f>
        <v>0</v>
      </c>
      <c r="N139" s="584">
        <f>SUM('Resultater detaljert Bygg'!AE141:AF141)</f>
        <v>0</v>
      </c>
    </row>
    <row r="140" spans="2:14">
      <c r="B140" s="339">
        <f>'Inndata Bygg'!B145</f>
        <v>0</v>
      </c>
      <c r="C140" s="340">
        <f>'Inndata Bygg'!C145</f>
        <v>0</v>
      </c>
      <c r="D140" s="340">
        <f>'Inndata Bygg'!D145</f>
        <v>0</v>
      </c>
      <c r="E140" s="340"/>
      <c r="F140" s="581">
        <f t="array" ref="F140">SUM(IFERROR(G140:N140,0))</f>
        <v>0</v>
      </c>
      <c r="G140" s="582">
        <f>'Inndata Bygg'!E145</f>
        <v>0</v>
      </c>
      <c r="H140" s="583">
        <f>SUM('Resultater detaljert Bygg'!N142:P142)</f>
        <v>0</v>
      </c>
      <c r="I140" s="584">
        <f>SUM('Resultater detaljert Bygg'!Q142:U142)</f>
        <v>0</v>
      </c>
      <c r="J140" s="582">
        <f>SUM('Resultater detaljert Bygg'!X142:AB142)</f>
        <v>0</v>
      </c>
      <c r="K140" s="584">
        <f>SUM('Resultater detaljert Bygg'!V142:W142)</f>
        <v>0</v>
      </c>
      <c r="L140" s="583">
        <f>'Resultater detaljert Bygg'!AC142</f>
        <v>0</v>
      </c>
      <c r="M140" s="583">
        <f>'Resultater detaljert Bygg'!AD142</f>
        <v>0</v>
      </c>
      <c r="N140" s="584">
        <f>SUM('Resultater detaljert Bygg'!AE142:AF142)</f>
        <v>0</v>
      </c>
    </row>
    <row r="141" spans="2:14">
      <c r="B141" s="339">
        <f>'Inndata Bygg'!B146</f>
        <v>0</v>
      </c>
      <c r="C141" s="340">
        <f>'Inndata Bygg'!C146</f>
        <v>0</v>
      </c>
      <c r="D141" s="340">
        <f>'Inndata Bygg'!D146</f>
        <v>0</v>
      </c>
      <c r="E141" s="340"/>
      <c r="F141" s="581">
        <f t="array" ref="F141">SUM(IFERROR(G141:N141,0))</f>
        <v>0</v>
      </c>
      <c r="G141" s="582">
        <f>'Inndata Bygg'!E146</f>
        <v>0</v>
      </c>
      <c r="H141" s="583">
        <f>SUM('Resultater detaljert Bygg'!N143:P143)</f>
        <v>0</v>
      </c>
      <c r="I141" s="584">
        <f>SUM('Resultater detaljert Bygg'!Q143:U143)</f>
        <v>0</v>
      </c>
      <c r="J141" s="582">
        <f>SUM('Resultater detaljert Bygg'!X143:AB143)</f>
        <v>0</v>
      </c>
      <c r="K141" s="584">
        <f>SUM('Resultater detaljert Bygg'!V143:W143)</f>
        <v>0</v>
      </c>
      <c r="L141" s="583">
        <f>'Resultater detaljert Bygg'!AC143</f>
        <v>0</v>
      </c>
      <c r="M141" s="583">
        <f>'Resultater detaljert Bygg'!AD143</f>
        <v>0</v>
      </c>
      <c r="N141" s="584">
        <f>SUM('Resultater detaljert Bygg'!AE143:AF143)</f>
        <v>0</v>
      </c>
    </row>
    <row r="142" spans="2:14">
      <c r="B142" s="339">
        <f>'Inndata Bygg'!B147</f>
        <v>0</v>
      </c>
      <c r="C142" s="340">
        <f>'Inndata Bygg'!C147</f>
        <v>0</v>
      </c>
      <c r="D142" s="340">
        <f>'Inndata Bygg'!D147</f>
        <v>0</v>
      </c>
      <c r="E142" s="340"/>
      <c r="F142" s="581">
        <f t="array" ref="F142">SUM(IFERROR(G142:N142,0))</f>
        <v>0</v>
      </c>
      <c r="G142" s="582">
        <f>'Inndata Bygg'!E147</f>
        <v>0</v>
      </c>
      <c r="H142" s="583">
        <f>SUM('Resultater detaljert Bygg'!N144:P144)</f>
        <v>0</v>
      </c>
      <c r="I142" s="584">
        <f>SUM('Resultater detaljert Bygg'!Q144:U144)</f>
        <v>0</v>
      </c>
      <c r="J142" s="582">
        <f>SUM('Resultater detaljert Bygg'!X144:AB144)</f>
        <v>0</v>
      </c>
      <c r="K142" s="584">
        <f>SUM('Resultater detaljert Bygg'!V144:W144)</f>
        <v>0</v>
      </c>
      <c r="L142" s="583">
        <f>'Resultater detaljert Bygg'!AC144</f>
        <v>0</v>
      </c>
      <c r="M142" s="583">
        <f>'Resultater detaljert Bygg'!AD144</f>
        <v>0</v>
      </c>
      <c r="N142" s="584">
        <f>SUM('Resultater detaljert Bygg'!AE144:AF144)</f>
        <v>0</v>
      </c>
    </row>
    <row r="143" spans="2:14">
      <c r="B143" s="339">
        <f>'Inndata Bygg'!B148</f>
        <v>0</v>
      </c>
      <c r="C143" s="340">
        <f>'Inndata Bygg'!C148</f>
        <v>0</v>
      </c>
      <c r="D143" s="340">
        <f>'Inndata Bygg'!D148</f>
        <v>0</v>
      </c>
      <c r="E143" s="340"/>
      <c r="F143" s="581">
        <f t="array" ref="F143">SUM(IFERROR(G143:N143,0))</f>
        <v>0</v>
      </c>
      <c r="G143" s="582">
        <f>'Inndata Bygg'!E148</f>
        <v>0</v>
      </c>
      <c r="H143" s="583">
        <f>SUM('Resultater detaljert Bygg'!N145:P145)</f>
        <v>0</v>
      </c>
      <c r="I143" s="584">
        <f>SUM('Resultater detaljert Bygg'!Q145:U145)</f>
        <v>0</v>
      </c>
      <c r="J143" s="582">
        <f>SUM('Resultater detaljert Bygg'!X145:AB145)</f>
        <v>0</v>
      </c>
      <c r="K143" s="584">
        <f>SUM('Resultater detaljert Bygg'!V145:W145)</f>
        <v>0</v>
      </c>
      <c r="L143" s="583">
        <f>'Resultater detaljert Bygg'!AC145</f>
        <v>0</v>
      </c>
      <c r="M143" s="583">
        <f>'Resultater detaljert Bygg'!AD145</f>
        <v>0</v>
      </c>
      <c r="N143" s="584">
        <f>SUM('Resultater detaljert Bygg'!AE145:AF145)</f>
        <v>0</v>
      </c>
    </row>
    <row r="144" spans="2:14">
      <c r="B144" s="339">
        <f>'Inndata Bygg'!B149</f>
        <v>0</v>
      </c>
      <c r="C144" s="340">
        <f>'Inndata Bygg'!C149</f>
        <v>0</v>
      </c>
      <c r="D144" s="340">
        <f>'Inndata Bygg'!D149</f>
        <v>0</v>
      </c>
      <c r="E144" s="340"/>
      <c r="F144" s="581">
        <f t="array" ref="F144">SUM(IFERROR(G144:N144,0))</f>
        <v>0</v>
      </c>
      <c r="G144" s="582">
        <f>'Inndata Bygg'!E149</f>
        <v>0</v>
      </c>
      <c r="H144" s="583">
        <f>SUM('Resultater detaljert Bygg'!N146:P146)</f>
        <v>0</v>
      </c>
      <c r="I144" s="584">
        <f>SUM('Resultater detaljert Bygg'!Q146:U146)</f>
        <v>0</v>
      </c>
      <c r="J144" s="582">
        <f>SUM('Resultater detaljert Bygg'!X146:AB146)</f>
        <v>0</v>
      </c>
      <c r="K144" s="584">
        <f>SUM('Resultater detaljert Bygg'!V146:W146)</f>
        <v>0</v>
      </c>
      <c r="L144" s="583">
        <f>'Resultater detaljert Bygg'!AC146</f>
        <v>0</v>
      </c>
      <c r="M144" s="583">
        <f>'Resultater detaljert Bygg'!AD146</f>
        <v>0</v>
      </c>
      <c r="N144" s="584">
        <f>SUM('Resultater detaljert Bygg'!AE146:AF146)</f>
        <v>0</v>
      </c>
    </row>
    <row r="145" spans="2:14">
      <c r="B145" s="339">
        <f>'Inndata Bygg'!B150</f>
        <v>0</v>
      </c>
      <c r="C145" s="340">
        <f>'Inndata Bygg'!C150</f>
        <v>0</v>
      </c>
      <c r="D145" s="340">
        <f>'Inndata Bygg'!D150</f>
        <v>0</v>
      </c>
      <c r="E145" s="340"/>
      <c r="F145" s="581">
        <f t="array" ref="F145">SUM(IFERROR(G145:N145,0))</f>
        <v>0</v>
      </c>
      <c r="G145" s="582">
        <f>'Inndata Bygg'!E150</f>
        <v>0</v>
      </c>
      <c r="H145" s="583">
        <f>SUM('Resultater detaljert Bygg'!N147:P147)</f>
        <v>0</v>
      </c>
      <c r="I145" s="584">
        <f>SUM('Resultater detaljert Bygg'!Q147:U147)</f>
        <v>0</v>
      </c>
      <c r="J145" s="582">
        <f>SUM('Resultater detaljert Bygg'!X147:AB147)</f>
        <v>0</v>
      </c>
      <c r="K145" s="584">
        <f>SUM('Resultater detaljert Bygg'!V147:W147)</f>
        <v>0</v>
      </c>
      <c r="L145" s="583">
        <f>'Resultater detaljert Bygg'!AC147</f>
        <v>0</v>
      </c>
      <c r="M145" s="583">
        <f>'Resultater detaljert Bygg'!AD147</f>
        <v>0</v>
      </c>
      <c r="N145" s="584">
        <f>SUM('Resultater detaljert Bygg'!AE147:AF147)</f>
        <v>0</v>
      </c>
    </row>
    <row r="146" spans="2:14">
      <c r="B146" s="339">
        <f>'Inndata Bygg'!B151</f>
        <v>0</v>
      </c>
      <c r="C146" s="340">
        <f>'Inndata Bygg'!C151</f>
        <v>0</v>
      </c>
      <c r="D146" s="340">
        <f>'Inndata Bygg'!D151</f>
        <v>0</v>
      </c>
      <c r="E146" s="340"/>
      <c r="F146" s="581">
        <f t="array" ref="F146">SUM(IFERROR(G146:N146,0))</f>
        <v>0</v>
      </c>
      <c r="G146" s="582">
        <f>'Inndata Bygg'!E151</f>
        <v>0</v>
      </c>
      <c r="H146" s="583">
        <f>SUM('Resultater detaljert Bygg'!N148:P148)</f>
        <v>0</v>
      </c>
      <c r="I146" s="584">
        <f>SUM('Resultater detaljert Bygg'!Q148:U148)</f>
        <v>0</v>
      </c>
      <c r="J146" s="582">
        <f>SUM('Resultater detaljert Bygg'!X148:AB148)</f>
        <v>0</v>
      </c>
      <c r="K146" s="584">
        <f>SUM('Resultater detaljert Bygg'!V148:W148)</f>
        <v>0</v>
      </c>
      <c r="L146" s="583">
        <f>'Resultater detaljert Bygg'!AC148</f>
        <v>0</v>
      </c>
      <c r="M146" s="583">
        <f>'Resultater detaljert Bygg'!AD148</f>
        <v>0</v>
      </c>
      <c r="N146" s="584">
        <f>SUM('Resultater detaljert Bygg'!AE148:AF148)</f>
        <v>0</v>
      </c>
    </row>
    <row r="147" spans="2:14">
      <c r="B147" s="339">
        <f>'Inndata Bygg'!B152</f>
        <v>0</v>
      </c>
      <c r="C147" s="340">
        <f>'Inndata Bygg'!C152</f>
        <v>0</v>
      </c>
      <c r="D147" s="340">
        <f>'Inndata Bygg'!D152</f>
        <v>0</v>
      </c>
      <c r="E147" s="340"/>
      <c r="F147" s="581">
        <f t="array" ref="F147">SUM(IFERROR(G147:N147,0))</f>
        <v>0</v>
      </c>
      <c r="G147" s="582">
        <f>'Inndata Bygg'!E152</f>
        <v>0</v>
      </c>
      <c r="H147" s="583">
        <f>SUM('Resultater detaljert Bygg'!N149:P149)</f>
        <v>0</v>
      </c>
      <c r="I147" s="584">
        <f>SUM('Resultater detaljert Bygg'!Q149:U149)</f>
        <v>0</v>
      </c>
      <c r="J147" s="582">
        <f>SUM('Resultater detaljert Bygg'!X149:AB149)</f>
        <v>0</v>
      </c>
      <c r="K147" s="584">
        <f>SUM('Resultater detaljert Bygg'!V149:W149)</f>
        <v>0</v>
      </c>
      <c r="L147" s="583">
        <f>'Resultater detaljert Bygg'!AC149</f>
        <v>0</v>
      </c>
      <c r="M147" s="583">
        <f>'Resultater detaljert Bygg'!AD149</f>
        <v>0</v>
      </c>
      <c r="N147" s="584">
        <f>SUM('Resultater detaljert Bygg'!AE149:AF149)</f>
        <v>0</v>
      </c>
    </row>
    <row r="148" spans="2:14">
      <c r="B148" s="339">
        <f>'Inndata Bygg'!B153</f>
        <v>0</v>
      </c>
      <c r="C148" s="340">
        <f>'Inndata Bygg'!C153</f>
        <v>0</v>
      </c>
      <c r="D148" s="340">
        <f>'Inndata Bygg'!D153</f>
        <v>0</v>
      </c>
      <c r="E148" s="340"/>
      <c r="F148" s="581">
        <f t="array" ref="F148">SUM(IFERROR(G148:N148,0))</f>
        <v>0</v>
      </c>
      <c r="G148" s="582">
        <f>'Inndata Bygg'!E153</f>
        <v>0</v>
      </c>
      <c r="H148" s="583">
        <f>SUM('Resultater detaljert Bygg'!N150:P150)</f>
        <v>0</v>
      </c>
      <c r="I148" s="584">
        <f>SUM('Resultater detaljert Bygg'!Q150:U150)</f>
        <v>0</v>
      </c>
      <c r="J148" s="582">
        <f>SUM('Resultater detaljert Bygg'!X150:AB150)</f>
        <v>0</v>
      </c>
      <c r="K148" s="584">
        <f>SUM('Resultater detaljert Bygg'!V150:W150)</f>
        <v>0</v>
      </c>
      <c r="L148" s="583">
        <f>'Resultater detaljert Bygg'!AC150</f>
        <v>0</v>
      </c>
      <c r="M148" s="583">
        <f>'Resultater detaljert Bygg'!AD150</f>
        <v>0</v>
      </c>
      <c r="N148" s="584">
        <f>SUM('Resultater detaljert Bygg'!AE150:AF150)</f>
        <v>0</v>
      </c>
    </row>
    <row r="149" spans="2:14">
      <c r="B149" s="339">
        <f>'Inndata Bygg'!B154</f>
        <v>0</v>
      </c>
      <c r="C149" s="340">
        <f>'Inndata Bygg'!C154</f>
        <v>0</v>
      </c>
      <c r="D149" s="340">
        <f>'Inndata Bygg'!D154</f>
        <v>0</v>
      </c>
      <c r="E149" s="340"/>
      <c r="F149" s="581">
        <f t="array" ref="F149">SUM(IFERROR(G149:N149,0))</f>
        <v>0</v>
      </c>
      <c r="G149" s="582">
        <f>'Inndata Bygg'!E154</f>
        <v>0</v>
      </c>
      <c r="H149" s="583">
        <f>SUM('Resultater detaljert Bygg'!N151:P151)</f>
        <v>0</v>
      </c>
      <c r="I149" s="584">
        <f>SUM('Resultater detaljert Bygg'!Q151:U151)</f>
        <v>0</v>
      </c>
      <c r="J149" s="582">
        <f>SUM('Resultater detaljert Bygg'!X151:AB151)</f>
        <v>0</v>
      </c>
      <c r="K149" s="584">
        <f>SUM('Resultater detaljert Bygg'!V151:W151)</f>
        <v>0</v>
      </c>
      <c r="L149" s="583">
        <f>'Resultater detaljert Bygg'!AC151</f>
        <v>0</v>
      </c>
      <c r="M149" s="583">
        <f>'Resultater detaljert Bygg'!AD151</f>
        <v>0</v>
      </c>
      <c r="N149" s="584">
        <f>SUM('Resultater detaljert Bygg'!AE151:AF151)</f>
        <v>0</v>
      </c>
    </row>
    <row r="150" spans="2:14">
      <c r="B150" s="339">
        <f>'Inndata Bygg'!B155</f>
        <v>0</v>
      </c>
      <c r="C150" s="340">
        <f>'Inndata Bygg'!C155</f>
        <v>0</v>
      </c>
      <c r="D150" s="340">
        <f>'Inndata Bygg'!D155</f>
        <v>0</v>
      </c>
      <c r="E150" s="340"/>
      <c r="F150" s="581">
        <f t="array" ref="F150">SUM(IFERROR(G150:N150,0))</f>
        <v>0</v>
      </c>
      <c r="G150" s="582">
        <f>'Inndata Bygg'!E155</f>
        <v>0</v>
      </c>
      <c r="H150" s="583">
        <f>SUM('Resultater detaljert Bygg'!N152:P152)</f>
        <v>0</v>
      </c>
      <c r="I150" s="584">
        <f>SUM('Resultater detaljert Bygg'!Q152:U152)</f>
        <v>0</v>
      </c>
      <c r="J150" s="582">
        <f>SUM('Resultater detaljert Bygg'!X152:AB152)</f>
        <v>0</v>
      </c>
      <c r="K150" s="584">
        <f>SUM('Resultater detaljert Bygg'!V152:W152)</f>
        <v>0</v>
      </c>
      <c r="L150" s="583">
        <f>'Resultater detaljert Bygg'!AC152</f>
        <v>0</v>
      </c>
      <c r="M150" s="583">
        <f>'Resultater detaljert Bygg'!AD152</f>
        <v>0</v>
      </c>
      <c r="N150" s="584">
        <f>SUM('Resultater detaljert Bygg'!AE152:AF152)</f>
        <v>0</v>
      </c>
    </row>
    <row r="151" spans="2:14">
      <c r="B151" s="339">
        <f>'Inndata Bygg'!B156</f>
        <v>0</v>
      </c>
      <c r="C151" s="340">
        <f>'Inndata Bygg'!C156</f>
        <v>0</v>
      </c>
      <c r="D151" s="340">
        <f>'Inndata Bygg'!D156</f>
        <v>0</v>
      </c>
      <c r="E151" s="340"/>
      <c r="F151" s="581">
        <f t="array" ref="F151">SUM(IFERROR(G151:N151,0))</f>
        <v>0</v>
      </c>
      <c r="G151" s="582">
        <f>'Inndata Bygg'!E156</f>
        <v>0</v>
      </c>
      <c r="H151" s="583">
        <f>SUM('Resultater detaljert Bygg'!N153:P153)</f>
        <v>0</v>
      </c>
      <c r="I151" s="584">
        <f>SUM('Resultater detaljert Bygg'!Q153:U153)</f>
        <v>0</v>
      </c>
      <c r="J151" s="582">
        <f>SUM('Resultater detaljert Bygg'!X153:AB153)</f>
        <v>0</v>
      </c>
      <c r="K151" s="584">
        <f>SUM('Resultater detaljert Bygg'!V153:W153)</f>
        <v>0</v>
      </c>
      <c r="L151" s="583">
        <f>'Resultater detaljert Bygg'!AC153</f>
        <v>0</v>
      </c>
      <c r="M151" s="583">
        <f>'Resultater detaljert Bygg'!AD153</f>
        <v>0</v>
      </c>
      <c r="N151" s="584">
        <f>SUM('Resultater detaljert Bygg'!AE153:AF153)</f>
        <v>0</v>
      </c>
    </row>
    <row r="152" spans="2:14">
      <c r="B152" s="339">
        <f>'Inndata Bygg'!B157</f>
        <v>0</v>
      </c>
      <c r="C152" s="340">
        <f>'Inndata Bygg'!C157</f>
        <v>0</v>
      </c>
      <c r="D152" s="340">
        <f>'Inndata Bygg'!D157</f>
        <v>0</v>
      </c>
      <c r="E152" s="340"/>
      <c r="F152" s="581">
        <f t="array" ref="F152">SUM(IFERROR(G152:N152,0))</f>
        <v>0</v>
      </c>
      <c r="G152" s="582">
        <f>'Inndata Bygg'!E157</f>
        <v>0</v>
      </c>
      <c r="H152" s="583">
        <f>SUM('Resultater detaljert Bygg'!N154:P154)</f>
        <v>0</v>
      </c>
      <c r="I152" s="584">
        <f>SUM('Resultater detaljert Bygg'!Q154:U154)</f>
        <v>0</v>
      </c>
      <c r="J152" s="582">
        <f>SUM('Resultater detaljert Bygg'!X154:AB154)</f>
        <v>0</v>
      </c>
      <c r="K152" s="584">
        <f>SUM('Resultater detaljert Bygg'!V154:W154)</f>
        <v>0</v>
      </c>
      <c r="L152" s="583">
        <f>'Resultater detaljert Bygg'!AC154</f>
        <v>0</v>
      </c>
      <c r="M152" s="583">
        <f>'Resultater detaljert Bygg'!AD154</f>
        <v>0</v>
      </c>
      <c r="N152" s="584">
        <f>SUM('Resultater detaljert Bygg'!AE154:AF154)</f>
        <v>0</v>
      </c>
    </row>
    <row r="153" spans="2:14">
      <c r="B153" s="339">
        <f>'Inndata Bygg'!B158</f>
        <v>0</v>
      </c>
      <c r="C153" s="340">
        <f>'Inndata Bygg'!C158</f>
        <v>0</v>
      </c>
      <c r="D153" s="340">
        <f>'Inndata Bygg'!D158</f>
        <v>0</v>
      </c>
      <c r="E153" s="340"/>
      <c r="F153" s="581">
        <f t="array" ref="F153">SUM(IFERROR(G153:N153,0))</f>
        <v>0</v>
      </c>
      <c r="G153" s="582">
        <f>'Inndata Bygg'!E158</f>
        <v>0</v>
      </c>
      <c r="H153" s="583">
        <f>SUM('Resultater detaljert Bygg'!N155:P155)</f>
        <v>0</v>
      </c>
      <c r="I153" s="584">
        <f>SUM('Resultater detaljert Bygg'!Q155:U155)</f>
        <v>0</v>
      </c>
      <c r="J153" s="582">
        <f>SUM('Resultater detaljert Bygg'!X155:AB155)</f>
        <v>0</v>
      </c>
      <c r="K153" s="584">
        <f>SUM('Resultater detaljert Bygg'!V155:W155)</f>
        <v>0</v>
      </c>
      <c r="L153" s="583">
        <f>'Resultater detaljert Bygg'!AC155</f>
        <v>0</v>
      </c>
      <c r="M153" s="583">
        <f>'Resultater detaljert Bygg'!AD155</f>
        <v>0</v>
      </c>
      <c r="N153" s="584">
        <f>SUM('Resultater detaljert Bygg'!AE155:AF155)</f>
        <v>0</v>
      </c>
    </row>
    <row r="154" spans="2:14">
      <c r="B154" s="339">
        <f>'Inndata Bygg'!B159</f>
        <v>0</v>
      </c>
      <c r="C154" s="340">
        <f>'Inndata Bygg'!C159</f>
        <v>0</v>
      </c>
      <c r="D154" s="340">
        <f>'Inndata Bygg'!D159</f>
        <v>0</v>
      </c>
      <c r="E154" s="340"/>
      <c r="F154" s="581">
        <f t="array" ref="F154">SUM(IFERROR(G154:N154,0))</f>
        <v>0</v>
      </c>
      <c r="G154" s="582">
        <f>'Inndata Bygg'!E159</f>
        <v>0</v>
      </c>
      <c r="H154" s="583">
        <f>SUM('Resultater detaljert Bygg'!N156:P156)</f>
        <v>0</v>
      </c>
      <c r="I154" s="584">
        <f>SUM('Resultater detaljert Bygg'!Q156:U156)</f>
        <v>0</v>
      </c>
      <c r="J154" s="582">
        <f>SUM('Resultater detaljert Bygg'!X156:AB156)</f>
        <v>0</v>
      </c>
      <c r="K154" s="584">
        <f>SUM('Resultater detaljert Bygg'!V156:W156)</f>
        <v>0</v>
      </c>
      <c r="L154" s="583">
        <f>'Resultater detaljert Bygg'!AC156</f>
        <v>0</v>
      </c>
      <c r="M154" s="583">
        <f>'Resultater detaljert Bygg'!AD156</f>
        <v>0</v>
      </c>
      <c r="N154" s="584">
        <f>SUM('Resultater detaljert Bygg'!AE156:AF156)</f>
        <v>0</v>
      </c>
    </row>
    <row r="155" spans="2:14">
      <c r="B155" s="339">
        <f>'Inndata Bygg'!B160</f>
        <v>0</v>
      </c>
      <c r="C155" s="340">
        <f>'Inndata Bygg'!C160</f>
        <v>0</v>
      </c>
      <c r="D155" s="340">
        <f>'Inndata Bygg'!D160</f>
        <v>0</v>
      </c>
      <c r="E155" s="340"/>
      <c r="F155" s="581">
        <f t="array" ref="F155">SUM(IFERROR(G155:N155,0))</f>
        <v>0</v>
      </c>
      <c r="G155" s="582">
        <f>'Inndata Bygg'!E160</f>
        <v>0</v>
      </c>
      <c r="H155" s="583">
        <f>SUM('Resultater detaljert Bygg'!N157:P157)</f>
        <v>0</v>
      </c>
      <c r="I155" s="584">
        <f>SUM('Resultater detaljert Bygg'!Q157:U157)</f>
        <v>0</v>
      </c>
      <c r="J155" s="582">
        <f>SUM('Resultater detaljert Bygg'!X157:AB157)</f>
        <v>0</v>
      </c>
      <c r="K155" s="584">
        <f>SUM('Resultater detaljert Bygg'!V157:W157)</f>
        <v>0</v>
      </c>
      <c r="L155" s="583">
        <f>'Resultater detaljert Bygg'!AC157</f>
        <v>0</v>
      </c>
      <c r="M155" s="583">
        <f>'Resultater detaljert Bygg'!AD157</f>
        <v>0</v>
      </c>
      <c r="N155" s="584">
        <f>SUM('Resultater detaljert Bygg'!AE157:AF157)</f>
        <v>0</v>
      </c>
    </row>
    <row r="156" spans="2:14">
      <c r="B156" s="342">
        <f>'Inndata Bygg'!B161</f>
        <v>0</v>
      </c>
      <c r="C156" s="343">
        <f>'Inndata Bygg'!C161</f>
        <v>0</v>
      </c>
      <c r="D156" s="343">
        <f>'Inndata Bygg'!D161</f>
        <v>0</v>
      </c>
      <c r="E156" s="343"/>
      <c r="F156" s="585">
        <f t="array" ref="F156">SUM(IFERROR(G156:N156,0))</f>
        <v>0</v>
      </c>
      <c r="G156" s="582">
        <f>'Inndata Bygg'!E161</f>
        <v>0</v>
      </c>
      <c r="H156" s="583">
        <f>SUM('Resultater detaljert Bygg'!N158:P158)</f>
        <v>0</v>
      </c>
      <c r="I156" s="584">
        <f>SUM('Resultater detaljert Bygg'!Q158:U158)</f>
        <v>0</v>
      </c>
      <c r="J156" s="582">
        <f>SUM('Resultater detaljert Bygg'!X158:AB158)</f>
        <v>0</v>
      </c>
      <c r="K156" s="584">
        <f>SUM('Resultater detaljert Bygg'!V158:W158)</f>
        <v>0</v>
      </c>
      <c r="L156" s="583">
        <f>'Resultater detaljert Bygg'!AC158</f>
        <v>0</v>
      </c>
      <c r="M156" s="583">
        <f>'Resultater detaljert Bygg'!AD158</f>
        <v>0</v>
      </c>
      <c r="N156" s="584">
        <f>SUM('Resultater detaljert Bygg'!AE158:AF158)</f>
        <v>0</v>
      </c>
    </row>
  </sheetData>
  <sheetProtection algorithmName="SHA-512" hashValue="X/HP9sHF/1SuoaKLy4+vJEDjBgH2I13u5a+aXjPhypwf1fxpSqqhz7jaTQqPKng4rFBRmLPVhiFTOJK1nK66Lg==" saltValue="gSFXe8sDpRTUYmAmw7DpOA==" spinCount="100000" sheet="1" objects="1" scenarios="1"/>
  <mergeCells count="6">
    <mergeCell ref="B7:C7"/>
    <mergeCell ref="L6:M6"/>
    <mergeCell ref="G6:I6"/>
    <mergeCell ref="B6:D6"/>
    <mergeCell ref="E6:F6"/>
    <mergeCell ref="J6:K6"/>
  </mergeCells>
  <conditionalFormatting sqref="B10:E156 G10:N156">
    <cfRule type="containsErrors" dxfId="86" priority="1">
      <formula>ISERROR(B10)</formula>
    </cfRule>
  </conditionalFormatting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CDD09-0EF3-BD48-9194-C7846D868F58}">
  <sheetPr codeName="Sheet8">
    <tabColor theme="8" tint="-0.249977111117893"/>
  </sheetPr>
  <dimension ref="B2:AF158"/>
  <sheetViews>
    <sheetView zoomScaleNormal="100" workbookViewId="0">
      <pane xSplit="4" ySplit="11" topLeftCell="E12" activePane="bottomRight" state="frozen"/>
      <selection pane="bottomRight" activeCell="E12" sqref="E12"/>
      <selection pane="bottomLeft" activeCell="D114" sqref="D114"/>
      <selection pane="topRight" activeCell="D114" sqref="D114"/>
    </sheetView>
  </sheetViews>
  <sheetFormatPr defaultColWidth="9.125" defaultRowHeight="14.1"/>
  <cols>
    <col min="1" max="1" width="9.125" style="303"/>
    <col min="2" max="2" width="23.5" style="303" customWidth="1"/>
    <col min="3" max="3" width="22.625" style="304" bestFit="1" customWidth="1"/>
    <col min="4" max="4" width="49.875" style="304" bestFit="1" customWidth="1"/>
    <col min="5" max="5" width="26.5" style="303" bestFit="1" customWidth="1"/>
    <col min="6" max="6" width="23.375" style="303" bestFit="1" customWidth="1"/>
    <col min="7" max="7" width="12.125" style="303" bestFit="1" customWidth="1"/>
    <col min="8" max="8" width="11.625" style="303" bestFit="1" customWidth="1"/>
    <col min="9" max="9" width="13.375" style="8" bestFit="1" customWidth="1"/>
    <col min="10" max="10" width="16.875" style="8" bestFit="1" customWidth="1"/>
    <col min="11" max="11" width="11.125" style="305" bestFit="1" customWidth="1"/>
    <col min="12" max="12" width="21.875" style="305" bestFit="1" customWidth="1"/>
    <col min="13" max="13" width="15" style="305" bestFit="1" customWidth="1"/>
    <col min="14" max="14" width="14.625" style="303" bestFit="1" customWidth="1"/>
    <col min="15" max="15" width="17.875" style="306" bestFit="1" customWidth="1"/>
    <col min="16" max="16" width="20.5" style="306" customWidth="1"/>
    <col min="17" max="18" width="17.125" style="306" customWidth="1"/>
    <col min="19" max="19" width="25" style="306" bestFit="1" customWidth="1"/>
    <col min="20" max="20" width="20.625" style="306" customWidth="1"/>
    <col min="21" max="21" width="16.875" style="306" customWidth="1"/>
    <col min="22" max="23" width="17.875" style="306" customWidth="1"/>
    <col min="24" max="24" width="12.125" style="303" bestFit="1" customWidth="1"/>
    <col min="25" max="25" width="8.625" style="303" customWidth="1"/>
    <col min="26" max="26" width="8.5" style="303" bestFit="1" customWidth="1"/>
    <col min="27" max="27" width="20.125" style="303" bestFit="1" customWidth="1"/>
    <col min="28" max="28" width="8.5" style="303" bestFit="1" customWidth="1"/>
    <col min="29" max="29" width="11" style="303" bestFit="1" customWidth="1"/>
    <col min="30" max="30" width="9.375" style="303" bestFit="1" customWidth="1"/>
    <col min="31" max="31" width="14.125" style="303" bestFit="1" customWidth="1"/>
    <col min="32" max="32" width="9.5" style="303" bestFit="1" customWidth="1"/>
    <col min="33" max="16384" width="9.125" style="303"/>
  </cols>
  <sheetData>
    <row r="2" spans="2:32" ht="36.950000000000003">
      <c r="B2" s="103" t="s">
        <v>379</v>
      </c>
      <c r="C2" s="8"/>
      <c r="D2" s="8"/>
      <c r="E2" s="8"/>
      <c r="F2" s="8"/>
      <c r="G2" s="8"/>
      <c r="H2" s="8"/>
    </row>
    <row r="3" spans="2:32">
      <c r="B3" s="20" t="s">
        <v>380</v>
      </c>
      <c r="C3" s="8"/>
      <c r="D3" s="8"/>
      <c r="E3" s="8"/>
      <c r="F3" s="8"/>
      <c r="G3" s="8"/>
      <c r="H3" s="8"/>
    </row>
    <row r="4" spans="2:32">
      <c r="B4" s="8" t="s">
        <v>381</v>
      </c>
      <c r="C4" s="8"/>
      <c r="D4" s="8"/>
      <c r="E4" s="8"/>
      <c r="F4" s="8"/>
      <c r="G4" s="8"/>
      <c r="H4" s="8"/>
    </row>
    <row r="5" spans="2:32">
      <c r="B5" s="8" t="s">
        <v>382</v>
      </c>
      <c r="C5" s="8"/>
      <c r="D5" s="8"/>
      <c r="E5" s="8"/>
      <c r="F5" s="8"/>
      <c r="G5" s="8"/>
      <c r="H5" s="8"/>
    </row>
    <row r="6" spans="2:32">
      <c r="B6" s="303" t="s">
        <v>383</v>
      </c>
    </row>
    <row r="8" spans="2:32" s="8" customFormat="1" ht="18.95" customHeight="1">
      <c r="B8" s="745"/>
      <c r="C8" s="746"/>
      <c r="D8" s="747"/>
      <c r="E8" s="751"/>
      <c r="F8" s="751"/>
      <c r="G8" s="751"/>
      <c r="H8" s="751"/>
      <c r="I8" s="751"/>
      <c r="J8" s="751"/>
      <c r="K8" s="751"/>
      <c r="L8" s="751"/>
      <c r="M8" s="751"/>
      <c r="N8" s="751"/>
      <c r="O8" s="751"/>
      <c r="P8" s="751"/>
      <c r="Q8" s="751"/>
      <c r="R8" s="751"/>
      <c r="S8" s="751"/>
      <c r="T8" s="751"/>
      <c r="U8" s="751"/>
      <c r="V8" s="751"/>
      <c r="W8" s="751"/>
      <c r="X8" s="751"/>
      <c r="Y8" s="751"/>
      <c r="Z8" s="751"/>
      <c r="AA8" s="751"/>
      <c r="AB8" s="751"/>
      <c r="AC8" s="751"/>
      <c r="AD8" s="751"/>
      <c r="AE8" s="751"/>
      <c r="AF8" s="752"/>
    </row>
    <row r="9" spans="2:32" s="351" customFormat="1" ht="24.95">
      <c r="B9" s="748" t="s">
        <v>267</v>
      </c>
      <c r="C9" s="749"/>
      <c r="D9" s="750"/>
      <c r="E9" s="749" t="s">
        <v>268</v>
      </c>
      <c r="F9" s="750"/>
      <c r="G9" s="748" t="s">
        <v>269</v>
      </c>
      <c r="H9" s="749"/>
      <c r="I9" s="749"/>
      <c r="J9" s="749"/>
      <c r="K9" s="750"/>
      <c r="L9" s="759" t="s">
        <v>270</v>
      </c>
      <c r="M9" s="760"/>
      <c r="N9" s="761"/>
      <c r="O9" s="753" t="s">
        <v>271</v>
      </c>
      <c r="P9" s="754"/>
      <c r="Q9" s="754"/>
      <c r="R9" s="754"/>
      <c r="S9" s="754"/>
      <c r="T9" s="754"/>
      <c r="U9" s="754"/>
      <c r="V9" s="755"/>
      <c r="W9" s="282"/>
      <c r="X9" s="756" t="s">
        <v>272</v>
      </c>
      <c r="Y9" s="754"/>
      <c r="Z9" s="754"/>
      <c r="AA9" s="755"/>
      <c r="AB9" s="749" t="s">
        <v>273</v>
      </c>
      <c r="AC9" s="749"/>
      <c r="AD9" s="749"/>
      <c r="AE9" s="749"/>
      <c r="AF9" s="750"/>
    </row>
    <row r="10" spans="2:32" s="353" customFormat="1" ht="17.100000000000001">
      <c r="B10" s="105" t="s">
        <v>274</v>
      </c>
      <c r="C10" s="107" t="s">
        <v>274</v>
      </c>
      <c r="D10" s="108" t="s">
        <v>274</v>
      </c>
      <c r="E10" s="106" t="s">
        <v>274</v>
      </c>
      <c r="F10" s="109" t="s">
        <v>274</v>
      </c>
      <c r="G10" s="105" t="s">
        <v>274</v>
      </c>
      <c r="H10" s="106" t="s">
        <v>274</v>
      </c>
      <c r="I10" s="110" t="s">
        <v>275</v>
      </c>
      <c r="J10" s="110" t="s">
        <v>275</v>
      </c>
      <c r="K10" s="109" t="s">
        <v>274</v>
      </c>
      <c r="L10" s="105" t="s">
        <v>276</v>
      </c>
      <c r="M10" s="106" t="s">
        <v>276</v>
      </c>
      <c r="N10" s="109" t="s">
        <v>276</v>
      </c>
      <c r="O10" s="105" t="s">
        <v>274</v>
      </c>
      <c r="P10" s="106" t="s">
        <v>274</v>
      </c>
      <c r="Q10" s="106" t="s">
        <v>277</v>
      </c>
      <c r="R10" s="106" t="s">
        <v>274</v>
      </c>
      <c r="S10" s="106" t="s">
        <v>274</v>
      </c>
      <c r="T10" s="106" t="s">
        <v>274</v>
      </c>
      <c r="U10" s="106" t="s">
        <v>277</v>
      </c>
      <c r="V10" s="109" t="s">
        <v>274</v>
      </c>
      <c r="W10" s="352" t="s">
        <v>278</v>
      </c>
      <c r="X10" s="823" t="s">
        <v>279</v>
      </c>
      <c r="Y10" s="823"/>
      <c r="Z10" s="823"/>
      <c r="AA10" s="824"/>
      <c r="AB10" s="821" t="s">
        <v>280</v>
      </c>
      <c r="AC10" s="821"/>
      <c r="AD10" s="821"/>
      <c r="AE10" s="821"/>
      <c r="AF10" s="822"/>
    </row>
    <row r="11" spans="2:32" s="354" customFormat="1" ht="32.1">
      <c r="B11" s="111" t="s">
        <v>375</v>
      </c>
      <c r="C11" s="289" t="s">
        <v>288</v>
      </c>
      <c r="D11" s="290" t="s">
        <v>289</v>
      </c>
      <c r="E11" s="113" t="s">
        <v>290</v>
      </c>
      <c r="F11" s="112" t="s">
        <v>291</v>
      </c>
      <c r="G11" s="111" t="s">
        <v>292</v>
      </c>
      <c r="H11" s="113" t="s">
        <v>293</v>
      </c>
      <c r="I11" s="113" t="s">
        <v>294</v>
      </c>
      <c r="J11" s="113" t="s">
        <v>295</v>
      </c>
      <c r="K11" s="114" t="s">
        <v>296</v>
      </c>
      <c r="L11" s="291" t="s">
        <v>384</v>
      </c>
      <c r="M11" s="292" t="s">
        <v>298</v>
      </c>
      <c r="N11" s="112" t="s">
        <v>299</v>
      </c>
      <c r="O11" s="293" t="s">
        <v>300</v>
      </c>
      <c r="P11" s="294" t="s">
        <v>385</v>
      </c>
      <c r="Q11" s="294" t="s">
        <v>386</v>
      </c>
      <c r="R11" s="294" t="s">
        <v>387</v>
      </c>
      <c r="S11" s="294" t="s">
        <v>304</v>
      </c>
      <c r="T11" s="294" t="s">
        <v>301</v>
      </c>
      <c r="U11" s="294" t="s">
        <v>305</v>
      </c>
      <c r="V11" s="295" t="s">
        <v>303</v>
      </c>
      <c r="W11" s="410" t="s">
        <v>306</v>
      </c>
      <c r="X11" s="296" t="s">
        <v>307</v>
      </c>
      <c r="Y11" s="296" t="s">
        <v>308</v>
      </c>
      <c r="Z11" s="296" t="s">
        <v>248</v>
      </c>
      <c r="AA11" s="297" t="s">
        <v>309</v>
      </c>
      <c r="AB11" s="298" t="s">
        <v>248</v>
      </c>
      <c r="AC11" s="296" t="s">
        <v>310</v>
      </c>
      <c r="AD11" s="296" t="s">
        <v>311</v>
      </c>
      <c r="AE11" s="298" t="s">
        <v>251</v>
      </c>
      <c r="AF11" s="297" t="s">
        <v>313</v>
      </c>
    </row>
    <row r="12" spans="2:32" ht="15">
      <c r="B12" s="601" t="s">
        <v>388</v>
      </c>
      <c r="C12" s="602" t="s">
        <v>389</v>
      </c>
      <c r="D12" s="698" t="s">
        <v>390</v>
      </c>
      <c r="E12" s="604">
        <v>40000</v>
      </c>
      <c r="F12" s="605">
        <v>300</v>
      </c>
      <c r="G12" s="606">
        <v>30000</v>
      </c>
      <c r="H12" s="607">
        <v>50</v>
      </c>
      <c r="I12" s="645">
        <f>IF(ISBLANK(H12),"",IF(H12&lt;Beregningsperiode,Beregningsperiode/'Tillegg- Inndata GoF'!H12-1,0))</f>
        <v>0</v>
      </c>
      <c r="J12" s="646">
        <f>IF(ISBLANK(H12),"",G12*I12)</f>
        <v>0</v>
      </c>
      <c r="K12" s="608">
        <v>0.1</v>
      </c>
      <c r="L12" s="609">
        <v>0.48</v>
      </c>
      <c r="M12" s="610">
        <v>0</v>
      </c>
      <c r="N12" s="610">
        <v>0</v>
      </c>
      <c r="O12" s="647"/>
      <c r="P12" s="648"/>
      <c r="Q12" s="648"/>
      <c r="R12" s="604"/>
      <c r="S12" s="604"/>
      <c r="T12" s="648"/>
      <c r="U12" s="648"/>
      <c r="V12" s="648"/>
      <c r="W12" s="649" t="s">
        <v>391</v>
      </c>
      <c r="X12" s="650">
        <v>0.6</v>
      </c>
      <c r="Y12" s="650">
        <v>0</v>
      </c>
      <c r="Z12" s="651">
        <v>0.4</v>
      </c>
      <c r="AA12" s="652">
        <v>0</v>
      </c>
      <c r="AB12" s="653" t="s">
        <v>99</v>
      </c>
      <c r="AC12" s="653" t="s">
        <v>101</v>
      </c>
      <c r="AD12" s="653" t="s">
        <v>101</v>
      </c>
      <c r="AE12" s="653" t="s">
        <v>99</v>
      </c>
      <c r="AF12" s="654" t="s">
        <v>101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GoF'!H13-1,0))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GoF'!H14-1,0))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GoF'!H15-1,0))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GoF'!H16-1,0))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GoF'!H17-1,0))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GoF'!H18-1,0))</f>
        <v/>
      </c>
      <c r="J18" s="120" t="str">
        <f t="shared" ref="J18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17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GoF'!H19-1,0))</f>
        <v/>
      </c>
      <c r="J19" s="120" t="str">
        <f t="shared" ref="J19:J82" si="3">IF(ISBLANK(H19),"",G19*I19)</f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17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GoF'!H20-1,0))</f>
        <v/>
      </c>
      <c r="J20" s="120" t="str">
        <f t="shared" si="3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17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GoF'!H21-1,0))</f>
        <v/>
      </c>
      <c r="J21" s="120" t="str">
        <f t="shared" si="3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17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GoF'!H22-1,0))</f>
        <v/>
      </c>
      <c r="J22" s="120" t="str">
        <f t="shared" si="3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17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GoF'!H23-1,0))</f>
        <v/>
      </c>
      <c r="J23" s="120" t="str">
        <f t="shared" si="3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17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GoF'!H24-1,0))</f>
        <v/>
      </c>
      <c r="J24" s="120" t="str">
        <f t="shared" si="3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17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GoF'!H25-1,0))</f>
        <v/>
      </c>
      <c r="J25" s="120" t="str">
        <f t="shared" si="3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17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GoF'!H26-1,0))</f>
        <v/>
      </c>
      <c r="J26" s="120" t="str">
        <f t="shared" si="3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17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GoF'!H27-1,0))</f>
        <v/>
      </c>
      <c r="J27" s="120" t="str">
        <f t="shared" si="3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17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GoF'!H28-1,0))</f>
        <v/>
      </c>
      <c r="J28" s="120" t="str">
        <f t="shared" si="3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17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GoF'!H29-1,0))</f>
        <v/>
      </c>
      <c r="J29" s="120" t="str">
        <f t="shared" si="3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17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GoF'!H30-1,0))</f>
        <v/>
      </c>
      <c r="J30" s="120" t="str">
        <f t="shared" si="3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17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GoF'!H31-1,0))</f>
        <v/>
      </c>
      <c r="J31" s="120" t="str">
        <f t="shared" si="3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17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GoF'!H32-1,0))</f>
        <v/>
      </c>
      <c r="J32" s="120" t="str">
        <f t="shared" si="3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17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GoF'!H33-1,0))</f>
        <v/>
      </c>
      <c r="J33" s="120" t="str">
        <f t="shared" si="3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17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GoF'!H34-1,0))</f>
        <v/>
      </c>
      <c r="J34" s="120" t="str">
        <f t="shared" si="3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17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GoF'!H35-1,0))</f>
        <v/>
      </c>
      <c r="J35" s="120" t="str">
        <f t="shared" si="3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17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GoF'!H36-1,0))</f>
        <v/>
      </c>
      <c r="J36" s="120" t="str">
        <f t="shared" si="3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17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GoF'!H37-1,0))</f>
        <v/>
      </c>
      <c r="J37" s="120" t="str">
        <f t="shared" si="3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17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GoF'!H38-1,0))</f>
        <v/>
      </c>
      <c r="J38" s="120" t="str">
        <f t="shared" si="3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17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GoF'!H39-1,0))</f>
        <v/>
      </c>
      <c r="J39" s="120" t="str">
        <f t="shared" si="3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17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GoF'!H40-1,0))</f>
        <v/>
      </c>
      <c r="J40" s="120" t="str">
        <f t="shared" si="3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17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GoF'!H41-1,0))</f>
        <v/>
      </c>
      <c r="J41" s="120" t="str">
        <f t="shared" si="3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17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GoF'!H42-1,0))</f>
        <v/>
      </c>
      <c r="J42" s="120" t="str">
        <f t="shared" si="3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17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GoF'!H43-1,0))</f>
        <v/>
      </c>
      <c r="J43" s="120" t="str">
        <f t="shared" si="3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17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GoF'!H44-1,0))</f>
        <v/>
      </c>
      <c r="J44" s="120" t="str">
        <f t="shared" si="3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17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GoF'!H45-1,0))</f>
        <v/>
      </c>
      <c r="J45" s="120" t="str">
        <f t="shared" si="3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17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GoF'!H46-1,0))</f>
        <v/>
      </c>
      <c r="J46" s="120" t="str">
        <f t="shared" si="3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17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GoF'!H47-1,0))</f>
        <v/>
      </c>
      <c r="J47" s="120" t="str">
        <f t="shared" si="3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17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300" t="str">
        <f>IF(ISBLANK(H48),"",IF(H48&lt;Beregningsperiode,Beregningsperiode/'Tillegg- Inndata GoF'!H48-1,0))</f>
        <v/>
      </c>
      <c r="J48" s="120" t="str">
        <f t="shared" si="3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17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300" t="str">
        <f>IF(ISBLANK(H49),"",IF(H49&lt;Beregningsperiode,Beregningsperiode/'Tillegg- Inndata GoF'!H49-1,0))</f>
        <v/>
      </c>
      <c r="J49" s="12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17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300" t="str">
        <f>IF(ISBLANK(H50),"",IF(H50&lt;Beregningsperiode,Beregningsperiode/'Tillegg- Inndata GoF'!H50-1,0))</f>
        <v/>
      </c>
      <c r="J50" s="12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17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300" t="str">
        <f>IF(ISBLANK(H51),"",IF(H51&lt;Beregningsperiode,Beregningsperiode/'Tillegg- Inndata GoF'!H51-1,0))</f>
        <v/>
      </c>
      <c r="J51" s="12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17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300" t="str">
        <f>IF(ISBLANK(H52),"",IF(H52&lt;Beregningsperiode,Beregningsperiode/'Tillegg- Inndata GoF'!H52-1,0))</f>
        <v/>
      </c>
      <c r="J52" s="12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17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300" t="str">
        <f>IF(ISBLANK(H53),"",IF(H53&lt;Beregningsperiode,Beregningsperiode/'Tillegg- Inndata GoF'!H53-1,0))</f>
        <v/>
      </c>
      <c r="J53" s="12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17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300" t="str">
        <f>IF(ISBLANK(H54),"",IF(H54&lt;Beregningsperiode,Beregningsperiode/'Tillegg- Inndata GoF'!H54-1,0))</f>
        <v/>
      </c>
      <c r="J54" s="12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17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300" t="str">
        <f>IF(ISBLANK(H55),"",IF(H55&lt;Beregningsperiode,Beregningsperiode/'Tillegg- Inndata GoF'!H55-1,0))</f>
        <v/>
      </c>
      <c r="J55" s="12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17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300" t="str">
        <f>IF(ISBLANK(H56),"",IF(H56&lt;Beregningsperiode,Beregningsperiode/'Tillegg- Inndata GoF'!H56-1,0))</f>
        <v/>
      </c>
      <c r="J56" s="12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17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300" t="str">
        <f>IF(ISBLANK(H57),"",IF(H57&lt;Beregningsperiode,Beregningsperiode/'Tillegg- Inndata GoF'!H57-1,0))</f>
        <v/>
      </c>
      <c r="J57" s="12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17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300" t="str">
        <f>IF(ISBLANK(H58),"",IF(H58&lt;Beregningsperiode,Beregningsperiode/'Tillegg- Inndata GoF'!H58-1,0))</f>
        <v/>
      </c>
      <c r="J58" s="12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17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300" t="str">
        <f>IF(ISBLANK(H59),"",IF(H59&lt;Beregningsperiode,Beregningsperiode/'Tillegg- Inndata GoF'!H59-1,0))</f>
        <v/>
      </c>
      <c r="J59" s="12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17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300" t="str">
        <f>IF(ISBLANK(H60),"",IF(H60&lt;Beregningsperiode,Beregningsperiode/'Tillegg- Inndata GoF'!H60-1,0))</f>
        <v/>
      </c>
      <c r="J60" s="12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17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300" t="str">
        <f>IF(ISBLANK(H61),"",IF(H61&lt;Beregningsperiode,Beregningsperiode/'Tillegg- Inndata GoF'!H61-1,0))</f>
        <v/>
      </c>
      <c r="J61" s="12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17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300" t="str">
        <f>IF(ISBLANK(H62),"",IF(H62&lt;Beregningsperiode,Beregningsperiode/'Tillegg- Inndata GoF'!H62-1,0))</f>
        <v/>
      </c>
      <c r="J62" s="12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17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300" t="str">
        <f>IF(ISBLANK(H63),"",IF(H63&lt;Beregningsperiode,Beregningsperiode/'Tillegg- Inndata GoF'!H63-1,0))</f>
        <v/>
      </c>
      <c r="J63" s="12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17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300" t="str">
        <f>IF(ISBLANK(H64),"",IF(H64&lt;Beregningsperiode,Beregningsperiode/'Tillegg- Inndata GoF'!H64-1,0))</f>
        <v/>
      </c>
      <c r="J64" s="12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17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300" t="str">
        <f>IF(ISBLANK(H65),"",IF(H65&lt;Beregningsperiode,Beregningsperiode/'Tillegg- Inndata GoF'!H65-1,0))</f>
        <v/>
      </c>
      <c r="J65" s="12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17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300" t="str">
        <f>IF(ISBLANK(H66),"",IF(H66&lt;Beregningsperiode,Beregningsperiode/'Tillegg- Inndata GoF'!H66-1,0))</f>
        <v/>
      </c>
      <c r="J66" s="12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17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300" t="str">
        <f>IF(ISBLANK(H67),"",IF(H67&lt;Beregningsperiode,Beregningsperiode/'Tillegg- Inndata GoF'!H67-1,0))</f>
        <v/>
      </c>
      <c r="J67" s="12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17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300" t="str">
        <f>IF(ISBLANK(H68),"",IF(H68&lt;Beregningsperiode,Beregningsperiode/'Tillegg- Inndata GoF'!H68-1,0))</f>
        <v/>
      </c>
      <c r="J68" s="12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17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300" t="str">
        <f>IF(ISBLANK(H69),"",IF(H69&lt;Beregningsperiode,Beregningsperiode/'Tillegg- Inndata GoF'!H69-1,0))</f>
        <v/>
      </c>
      <c r="J69" s="12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17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300" t="str">
        <f>IF(ISBLANK(H70),"",IF(H70&lt;Beregningsperiode,Beregningsperiode/'Tillegg- Inndata GoF'!H70-1,0))</f>
        <v/>
      </c>
      <c r="J70" s="12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17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300" t="str">
        <f>IF(ISBLANK(H71),"",IF(H71&lt;Beregningsperiode,Beregningsperiode/'Tillegg- Inndata GoF'!H71-1,0))</f>
        <v/>
      </c>
      <c r="J71" s="12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17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300" t="str">
        <f>IF(ISBLANK(H72),"",IF(H72&lt;Beregningsperiode,Beregningsperiode/'Tillegg- Inndata GoF'!H72-1,0))</f>
        <v/>
      </c>
      <c r="J72" s="12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17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300" t="str">
        <f>IF(ISBLANK(H73),"",IF(H73&lt;Beregningsperiode,Beregningsperiode/'Tillegg- Inndata GoF'!H73-1,0))</f>
        <v/>
      </c>
      <c r="J73" s="12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17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300" t="str">
        <f>IF(ISBLANK(H74),"",IF(H74&lt;Beregningsperiode,Beregningsperiode/'Tillegg- Inndata GoF'!H74-1,0))</f>
        <v/>
      </c>
      <c r="J74" s="12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17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300" t="str">
        <f>IF(ISBLANK(H75),"",IF(H75&lt;Beregningsperiode,Beregningsperiode/'Tillegg- Inndata GoF'!H75-1,0))</f>
        <v/>
      </c>
      <c r="J75" s="12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17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300" t="str">
        <f>IF(ISBLANK(H76),"",IF(H76&lt;Beregningsperiode,Beregningsperiode/'Tillegg- Inndata GoF'!H76-1,0))</f>
        <v/>
      </c>
      <c r="J76" s="12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17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300" t="str">
        <f>IF(ISBLANK(H77),"",IF(H77&lt;Beregningsperiode,Beregningsperiode/'Tillegg- Inndata GoF'!H77-1,0))</f>
        <v/>
      </c>
      <c r="J77" s="12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17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300" t="str">
        <f>IF(ISBLANK(H78),"",IF(H78&lt;Beregningsperiode,Beregningsperiode/'Tillegg- Inndata GoF'!H78-1,0))</f>
        <v/>
      </c>
      <c r="J78" s="12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17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300" t="str">
        <f>IF(ISBLANK(H79),"",IF(H79&lt;Beregningsperiode,Beregningsperiode/'Tillegg- Inndata GoF'!H79-1,0))</f>
        <v/>
      </c>
      <c r="J79" s="12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17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300" t="str">
        <f>IF(ISBLANK(H80),"",IF(H80&lt;Beregningsperiode,Beregningsperiode/'Tillegg- Inndata GoF'!H80-1,0))</f>
        <v/>
      </c>
      <c r="J80" s="12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17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300" t="str">
        <f>IF(ISBLANK(H81),"",IF(H81&lt;Beregningsperiode,Beregningsperiode/'Tillegg- Inndata GoF'!H81-1,0))</f>
        <v/>
      </c>
      <c r="J81" s="12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17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300" t="str">
        <f>IF(ISBLANK(H82),"",IF(H82&lt;Beregningsperiode,Beregningsperiode/'Tillegg- Inndata GoF'!H82-1,0))</f>
        <v/>
      </c>
      <c r="J82" s="12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17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300" t="str">
        <f>IF(ISBLANK(H83),"",IF(H83&lt;Beregningsperiode,Beregningsperiode/'Tillegg- Inndata GoF'!H83-1,0))</f>
        <v/>
      </c>
      <c r="J83" s="120" t="str">
        <f t="shared" ref="J83:J146" si="4">IF(ISBLANK(H83),"",G83*I83)</f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17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300" t="str">
        <f>IF(ISBLANK(H84),"",IF(H84&lt;Beregningsperiode,Beregningsperiode/'Tillegg- Inndata GoF'!H84-1,0))</f>
        <v/>
      </c>
      <c r="J84" s="120" t="str">
        <f t="shared" si="4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17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300" t="str">
        <f>IF(ISBLANK(H85),"",IF(H85&lt;Beregningsperiode,Beregningsperiode/'Tillegg- Inndata GoF'!H85-1,0))</f>
        <v/>
      </c>
      <c r="J85" s="120" t="str">
        <f t="shared" si="4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17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300" t="str">
        <f>IF(ISBLANK(H86),"",IF(H86&lt;Beregningsperiode,Beregningsperiode/'Tillegg- Inndata GoF'!H86-1,0))</f>
        <v/>
      </c>
      <c r="J86" s="120" t="str">
        <f t="shared" si="4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17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300" t="str">
        <f>IF(ISBLANK(H87),"",IF(H87&lt;Beregningsperiode,Beregningsperiode/'Tillegg- Inndata GoF'!H87-1,0))</f>
        <v/>
      </c>
      <c r="J87" s="120" t="str">
        <f t="shared" si="4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17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300" t="str">
        <f>IF(ISBLANK(H88),"",IF(H88&lt;Beregningsperiode,Beregningsperiode/'Tillegg- Inndata GoF'!H88-1,0))</f>
        <v/>
      </c>
      <c r="J88" s="120" t="str">
        <f t="shared" si="4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17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300" t="str">
        <f>IF(ISBLANK(H89),"",IF(H89&lt;Beregningsperiode,Beregningsperiode/'Tillegg- Inndata GoF'!H89-1,0))</f>
        <v/>
      </c>
      <c r="J89" s="120" t="str">
        <f t="shared" si="4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17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300" t="str">
        <f>IF(ISBLANK(H90),"",IF(H90&lt;Beregningsperiode,Beregningsperiode/'Tillegg- Inndata GoF'!H90-1,0))</f>
        <v/>
      </c>
      <c r="J90" s="120" t="str">
        <f t="shared" si="4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17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300" t="str">
        <f>IF(ISBLANK(H91),"",IF(H91&lt;Beregningsperiode,Beregningsperiode/'Tillegg- Inndata GoF'!H91-1,0))</f>
        <v/>
      </c>
      <c r="J91" s="120" t="str">
        <f t="shared" si="4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17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300" t="str">
        <f>IF(ISBLANK(H92),"",IF(H92&lt;Beregningsperiode,Beregningsperiode/'Tillegg- Inndata GoF'!H92-1,0))</f>
        <v/>
      </c>
      <c r="J92" s="120" t="str">
        <f t="shared" si="4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17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300" t="str">
        <f>IF(ISBLANK(H93),"",IF(H93&lt;Beregningsperiode,Beregningsperiode/'Tillegg- Inndata GoF'!H93-1,0))</f>
        <v/>
      </c>
      <c r="J93" s="120" t="str">
        <f t="shared" si="4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17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300" t="str">
        <f>IF(ISBLANK(H94),"",IF(H94&lt;Beregningsperiode,Beregningsperiode/'Tillegg- Inndata GoF'!H94-1,0))</f>
        <v/>
      </c>
      <c r="J94" s="120" t="str">
        <f t="shared" si="4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17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300" t="str">
        <f>IF(ISBLANK(H95),"",IF(H95&lt;Beregningsperiode,Beregningsperiode/'Tillegg- Inndata GoF'!H95-1,0))</f>
        <v/>
      </c>
      <c r="J95" s="120" t="str">
        <f t="shared" si="4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17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300" t="str">
        <f>IF(ISBLANK(H96),"",IF(H96&lt;Beregningsperiode,Beregningsperiode/'Tillegg- Inndata GoF'!H96-1,0))</f>
        <v/>
      </c>
      <c r="J96" s="120" t="str">
        <f t="shared" si="4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17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300" t="str">
        <f>IF(ISBLANK(H97),"",IF(H97&lt;Beregningsperiode,Beregningsperiode/'Tillegg- Inndata GoF'!H97-1,0))</f>
        <v/>
      </c>
      <c r="J97" s="120" t="str">
        <f t="shared" si="4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17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300" t="str">
        <f>IF(ISBLANK(H98),"",IF(H98&lt;Beregningsperiode,Beregningsperiode/'Tillegg- Inndata GoF'!H98-1,0))</f>
        <v/>
      </c>
      <c r="J98" s="120" t="str">
        <f t="shared" si="4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17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300" t="str">
        <f>IF(ISBLANK(H99),"",IF(H99&lt;Beregningsperiode,Beregningsperiode/'Tillegg- Inndata GoF'!H99-1,0))</f>
        <v/>
      </c>
      <c r="J99" s="120" t="str">
        <f t="shared" si="4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17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300" t="str">
        <f>IF(ISBLANK(H100),"",IF(H100&lt;Beregningsperiode,Beregningsperiode/'Tillegg- Inndata GoF'!H100-1,0))</f>
        <v/>
      </c>
      <c r="J100" s="120" t="str">
        <f t="shared" si="4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17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300" t="str">
        <f>IF(ISBLANK(H101),"",IF(H101&lt;Beregningsperiode,Beregningsperiode/'Tillegg- Inndata GoF'!H101-1,0))</f>
        <v/>
      </c>
      <c r="J101" s="120" t="str">
        <f t="shared" si="4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17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300" t="str">
        <f>IF(ISBLANK(H102),"",IF(H102&lt;Beregningsperiode,Beregningsperiode/'Tillegg- Inndata GoF'!H102-1,0))</f>
        <v/>
      </c>
      <c r="J102" s="120" t="str">
        <f t="shared" si="4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17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300" t="str">
        <f>IF(ISBLANK(H103),"",IF(H103&lt;Beregningsperiode,Beregningsperiode/'Tillegg- Inndata GoF'!H103-1,0))</f>
        <v/>
      </c>
      <c r="J103" s="120" t="str">
        <f t="shared" si="4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17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300" t="str">
        <f>IF(ISBLANK(H104),"",IF(H104&lt;Beregningsperiode,Beregningsperiode/'Tillegg- Inndata GoF'!H104-1,0))</f>
        <v/>
      </c>
      <c r="J104" s="120" t="str">
        <f t="shared" si="4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17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300" t="str">
        <f>IF(ISBLANK(H105),"",IF(H105&lt;Beregningsperiode,Beregningsperiode/'Tillegg- Inndata GoF'!H105-1,0))</f>
        <v/>
      </c>
      <c r="J105" s="120" t="str">
        <f t="shared" si="4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17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300" t="str">
        <f>IF(ISBLANK(H106),"",IF(H106&lt;Beregningsperiode,Beregningsperiode/'Tillegg- Inndata GoF'!H106-1,0))</f>
        <v/>
      </c>
      <c r="J106" s="120" t="str">
        <f t="shared" si="4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17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300" t="str">
        <f>IF(ISBLANK(H107),"",IF(H107&lt;Beregningsperiode,Beregningsperiode/'Tillegg- Inndata GoF'!H107-1,0))</f>
        <v/>
      </c>
      <c r="J107" s="120" t="str">
        <f t="shared" si="4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17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300" t="str">
        <f>IF(ISBLANK(H108),"",IF(H108&lt;Beregningsperiode,Beregningsperiode/'Tillegg- Inndata GoF'!H108-1,0))</f>
        <v/>
      </c>
      <c r="J108" s="120" t="str">
        <f t="shared" si="4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17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300" t="str">
        <f>IF(ISBLANK(H109),"",IF(H109&lt;Beregningsperiode,Beregningsperiode/'Tillegg- Inndata GoF'!H109-1,0))</f>
        <v/>
      </c>
      <c r="J109" s="120" t="str">
        <f t="shared" si="4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17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300" t="str">
        <f>IF(ISBLANK(H110),"",IF(H110&lt;Beregningsperiode,Beregningsperiode/'Tillegg- Inndata GoF'!H110-1,0))</f>
        <v/>
      </c>
      <c r="J110" s="120" t="str">
        <f t="shared" si="4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17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300" t="str">
        <f>IF(ISBLANK(H111),"",IF(H111&lt;Beregningsperiode,Beregningsperiode/'Tillegg- Inndata GoF'!H111-1,0))</f>
        <v/>
      </c>
      <c r="J111" s="120" t="str">
        <f t="shared" si="4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17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300" t="str">
        <f>IF(ISBLANK(H112),"",IF(H112&lt;Beregningsperiode,Beregningsperiode/'Tillegg- Inndata GoF'!H112-1,0))</f>
        <v/>
      </c>
      <c r="J112" s="120" t="str">
        <f t="shared" si="4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17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300" t="str">
        <f>IF(ISBLANK(H113),"",IF(H113&lt;Beregningsperiode,Beregningsperiode/'Tillegg- Inndata GoF'!H113-1,0))</f>
        <v/>
      </c>
      <c r="J113" s="12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17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300" t="str">
        <f>IF(ISBLANK(H114),"",IF(H114&lt;Beregningsperiode,Beregningsperiode/'Tillegg- Inndata GoF'!H114-1,0))</f>
        <v/>
      </c>
      <c r="J114" s="12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17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300" t="str">
        <f>IF(ISBLANK(H115),"",IF(H115&lt;Beregningsperiode,Beregningsperiode/'Tillegg- Inndata GoF'!H115-1,0))</f>
        <v/>
      </c>
      <c r="J115" s="12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17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300" t="str">
        <f>IF(ISBLANK(H116),"",IF(H116&lt;Beregningsperiode,Beregningsperiode/'Tillegg- Inndata GoF'!H116-1,0))</f>
        <v/>
      </c>
      <c r="J116" s="12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17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300" t="str">
        <f>IF(ISBLANK(H117),"",IF(H117&lt;Beregningsperiode,Beregningsperiode/'Tillegg- Inndata GoF'!H117-1,0))</f>
        <v/>
      </c>
      <c r="J117" s="12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17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300" t="str">
        <f>IF(ISBLANK(H118),"",IF(H118&lt;Beregningsperiode,Beregningsperiode/'Tillegg- Inndata GoF'!H118-1,0))</f>
        <v/>
      </c>
      <c r="J118" s="12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17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300" t="str">
        <f>IF(ISBLANK(H119),"",IF(H119&lt;Beregningsperiode,Beregningsperiode/'Tillegg- Inndata GoF'!H119-1,0))</f>
        <v/>
      </c>
      <c r="J119" s="12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17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300" t="str">
        <f>IF(ISBLANK(H120),"",IF(H120&lt;Beregningsperiode,Beregningsperiode/'Tillegg- Inndata GoF'!H120-1,0))</f>
        <v/>
      </c>
      <c r="J120" s="12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17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300" t="str">
        <f>IF(ISBLANK(H121),"",IF(H121&lt;Beregningsperiode,Beregningsperiode/'Tillegg- Inndata GoF'!H121-1,0))</f>
        <v/>
      </c>
      <c r="J121" s="12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17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300" t="str">
        <f>IF(ISBLANK(H122),"",IF(H122&lt;Beregningsperiode,Beregningsperiode/'Tillegg- Inndata GoF'!H122-1,0))</f>
        <v/>
      </c>
      <c r="J122" s="12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17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300" t="str">
        <f>IF(ISBLANK(H123),"",IF(H123&lt;Beregningsperiode,Beregningsperiode/'Tillegg- Inndata GoF'!H123-1,0))</f>
        <v/>
      </c>
      <c r="J123" s="12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17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300" t="str">
        <f>IF(ISBLANK(H124),"",IF(H124&lt;Beregningsperiode,Beregningsperiode/'Tillegg- Inndata GoF'!H124-1,0))</f>
        <v/>
      </c>
      <c r="J124" s="12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17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300" t="str">
        <f>IF(ISBLANK(H125),"",IF(H125&lt;Beregningsperiode,Beregningsperiode/'Tillegg- Inndata GoF'!H125-1,0))</f>
        <v/>
      </c>
      <c r="J125" s="12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17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300" t="str">
        <f>IF(ISBLANK(H126),"",IF(H126&lt;Beregningsperiode,Beregningsperiode/'Tillegg- Inndata GoF'!H126-1,0))</f>
        <v/>
      </c>
      <c r="J126" s="12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17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300" t="str">
        <f>IF(ISBLANK(H127),"",IF(H127&lt;Beregningsperiode,Beregningsperiode/'Tillegg- Inndata GoF'!H127-1,0))</f>
        <v/>
      </c>
      <c r="J127" s="12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17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300" t="str">
        <f>IF(ISBLANK(H128),"",IF(H128&lt;Beregningsperiode,Beregningsperiode/'Tillegg- Inndata GoF'!H128-1,0))</f>
        <v/>
      </c>
      <c r="J128" s="12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17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300" t="str">
        <f>IF(ISBLANK(H129),"",IF(H129&lt;Beregningsperiode,Beregningsperiode/'Tillegg- Inndata GoF'!H129-1,0))</f>
        <v/>
      </c>
      <c r="J129" s="12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17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300" t="str">
        <f>IF(ISBLANK(H130),"",IF(H130&lt;Beregningsperiode,Beregningsperiode/'Tillegg- Inndata GoF'!H130-1,0))</f>
        <v/>
      </c>
      <c r="J130" s="12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17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300" t="str">
        <f>IF(ISBLANK(H131),"",IF(H131&lt;Beregningsperiode,Beregningsperiode/'Tillegg- Inndata GoF'!H131-1,0))</f>
        <v/>
      </c>
      <c r="J131" s="12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17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300" t="str">
        <f>IF(ISBLANK(H132),"",IF(H132&lt;Beregningsperiode,Beregningsperiode/'Tillegg- Inndata GoF'!H132-1,0))</f>
        <v/>
      </c>
      <c r="J132" s="12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17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300" t="str">
        <f>IF(ISBLANK(H133),"",IF(H133&lt;Beregningsperiode,Beregningsperiode/'Tillegg- Inndata GoF'!H133-1,0))</f>
        <v/>
      </c>
      <c r="J133" s="12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17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300" t="str">
        <f>IF(ISBLANK(H134),"",IF(H134&lt;Beregningsperiode,Beregningsperiode/'Tillegg- Inndata GoF'!H134-1,0))</f>
        <v/>
      </c>
      <c r="J134" s="12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17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300" t="str">
        <f>IF(ISBLANK(H135),"",IF(H135&lt;Beregningsperiode,Beregningsperiode/'Tillegg- Inndata GoF'!H135-1,0))</f>
        <v/>
      </c>
      <c r="J135" s="12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17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300" t="str">
        <f>IF(ISBLANK(H136),"",IF(H136&lt;Beregningsperiode,Beregningsperiode/'Tillegg- Inndata GoF'!H136-1,0))</f>
        <v/>
      </c>
      <c r="J136" s="12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17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300" t="str">
        <f>IF(ISBLANK(H137),"",IF(H137&lt;Beregningsperiode,Beregningsperiode/'Tillegg- Inndata GoF'!H137-1,0))</f>
        <v/>
      </c>
      <c r="J137" s="12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17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300" t="str">
        <f>IF(ISBLANK(H138),"",IF(H138&lt;Beregningsperiode,Beregningsperiode/'Tillegg- Inndata GoF'!H138-1,0))</f>
        <v/>
      </c>
      <c r="J138" s="12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17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300" t="str">
        <f>IF(ISBLANK(H139),"",IF(H139&lt;Beregningsperiode,Beregningsperiode/'Tillegg- Inndata GoF'!H139-1,0))</f>
        <v/>
      </c>
      <c r="J139" s="12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17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300" t="str">
        <f>IF(ISBLANK(H140),"",IF(H140&lt;Beregningsperiode,Beregningsperiode/'Tillegg- Inndata GoF'!H140-1,0))</f>
        <v/>
      </c>
      <c r="J140" s="12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17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300" t="str">
        <f>IF(ISBLANK(H141),"",IF(H141&lt;Beregningsperiode,Beregningsperiode/'Tillegg- Inndata GoF'!H141-1,0))</f>
        <v/>
      </c>
      <c r="J141" s="12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17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300" t="str">
        <f>IF(ISBLANK(H142),"",IF(H142&lt;Beregningsperiode,Beregningsperiode/'Tillegg- Inndata GoF'!H142-1,0))</f>
        <v/>
      </c>
      <c r="J142" s="12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17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300" t="str">
        <f>IF(ISBLANK(H143),"",IF(H143&lt;Beregningsperiode,Beregningsperiode/'Tillegg- Inndata GoF'!H143-1,0))</f>
        <v/>
      </c>
      <c r="J143" s="12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17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300" t="str">
        <f>IF(ISBLANK(H144),"",IF(H144&lt;Beregningsperiode,Beregningsperiode/'Tillegg- Inndata GoF'!H144-1,0))</f>
        <v/>
      </c>
      <c r="J144" s="12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17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300" t="str">
        <f>IF(ISBLANK(H145),"",IF(H145&lt;Beregningsperiode,Beregningsperiode/'Tillegg- Inndata GoF'!H145-1,0))</f>
        <v/>
      </c>
      <c r="J145" s="12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17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300" t="str">
        <f>IF(ISBLANK(H146),"",IF(H146&lt;Beregningsperiode,Beregningsperiode/'Tillegg- Inndata GoF'!H146-1,0))</f>
        <v/>
      </c>
      <c r="J146" s="12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17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300" t="str">
        <f>IF(ISBLANK(H147),"",IF(H147&lt;Beregningsperiode,Beregningsperiode/'Tillegg- Inndata GoF'!H147-1,0))</f>
        <v/>
      </c>
      <c r="J147" s="120" t="str">
        <f t="shared" ref="J147:J157" si="5">IF(ISBLANK(H147),"",G147*I147)</f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17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300" t="str">
        <f>IF(ISBLANK(H148),"",IF(H148&lt;Beregningsperiode,Beregningsperiode/'Tillegg- Inndata GoF'!H148-1,0))</f>
        <v/>
      </c>
      <c r="J148" s="120" t="str">
        <f t="shared" si="5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17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300" t="str">
        <f>IF(ISBLANK(H149),"",IF(H149&lt;Beregningsperiode,Beregningsperiode/'Tillegg- Inndata GoF'!H149-1,0))</f>
        <v/>
      </c>
      <c r="J149" s="120" t="str">
        <f t="shared" si="5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17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300" t="str">
        <f>IF(ISBLANK(H150),"",IF(H150&lt;Beregningsperiode,Beregningsperiode/'Tillegg- Inndata GoF'!H150-1,0))</f>
        <v/>
      </c>
      <c r="J150" s="120" t="str">
        <f t="shared" si="5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17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300" t="str">
        <f>IF(ISBLANK(H151),"",IF(H151&lt;Beregningsperiode,Beregningsperiode/'Tillegg- Inndata GoF'!H151-1,0))</f>
        <v/>
      </c>
      <c r="J151" s="120" t="str">
        <f t="shared" si="5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17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300" t="str">
        <f>IF(ISBLANK(H152),"",IF(H152&lt;Beregningsperiode,Beregningsperiode/'Tillegg- Inndata GoF'!H152-1,0))</f>
        <v/>
      </c>
      <c r="J152" s="120" t="str">
        <f t="shared" si="5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17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300" t="str">
        <f>IF(ISBLANK(H153),"",IF(H153&lt;Beregningsperiode,Beregningsperiode/'Tillegg- Inndata GoF'!H153-1,0))</f>
        <v/>
      </c>
      <c r="J153" s="120" t="str">
        <f t="shared" si="5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17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300" t="str">
        <f>IF(ISBLANK(H154),"",IF(H154&lt;Beregningsperiode,Beregningsperiode/'Tillegg- Inndata GoF'!H154-1,0))</f>
        <v/>
      </c>
      <c r="J154" s="120" t="str">
        <f t="shared" si="5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17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300" t="str">
        <f>IF(ISBLANK(H155),"",IF(H155&lt;Beregningsperiode,Beregningsperiode/'Tillegg- Inndata GoF'!H155-1,0))</f>
        <v/>
      </c>
      <c r="J155" s="120" t="str">
        <f t="shared" si="5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17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300" t="str">
        <f>IF(ISBLANK(H156),"",IF(H156&lt;Beregningsperiode,Beregningsperiode/'Tillegg- Inndata GoF'!H156-1,0))</f>
        <v/>
      </c>
      <c r="J156" s="120" t="str">
        <f t="shared" si="5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17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300" t="str">
        <f>IF(ISBLANK(H157),"",IF(H157&lt;Beregningsperiode,Beregningsperiode/'Tillegg- Inndata GoF'!H157-1,0))</f>
        <v/>
      </c>
      <c r="J157" s="120" t="str">
        <f t="shared" si="5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17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GoF'!H158-1),0))</f>
        <v/>
      </c>
      <c r="J158" s="176" t="str">
        <f t="shared" ref="J158" si="6">IF(ISBLANK(H158),"",G158*I158)</f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180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DakduDcj+MevbqX3RpHlii3I1oxm0FCzC5WwtMrB256NeEqIcOUOHPLahrnnIzFtnH8MT1Ek/MRaP6ikia2L8A==" saltValue="L/k/ywM3kk2Bj8CnJNrqlg==" spinCount="100000" sheet="1" formatCells="0" formatColumns="0" formatRows="0" selectLockedCells="1" sort="0" autoFilter="0" pivotTables="0"/>
  <mergeCells count="11">
    <mergeCell ref="AB10:AF10"/>
    <mergeCell ref="B8:D8"/>
    <mergeCell ref="E8:AF8"/>
    <mergeCell ref="B9:D9"/>
    <mergeCell ref="E9:F9"/>
    <mergeCell ref="G9:K9"/>
    <mergeCell ref="L9:N9"/>
    <mergeCell ref="O9:V9"/>
    <mergeCell ref="X9:AA9"/>
    <mergeCell ref="AB9:AF9"/>
    <mergeCell ref="X10:AA10"/>
  </mergeCells>
  <conditionalFormatting sqref="B12:AF158">
    <cfRule type="containsBlanks" dxfId="85" priority="1">
      <formula>LEN(TRIM(B12))=0</formula>
    </cfRule>
  </conditionalFormatting>
  <conditionalFormatting sqref="X159:X1048576 AA159:AB1048576">
    <cfRule type="cellIs" dxfId="84" priority="20" operator="equal">
      <formula>"Nei"</formula>
    </cfRule>
    <cfRule type="cellIs" dxfId="83" priority="21" operator="equal">
      <formula>"Ja"</formula>
    </cfRule>
  </conditionalFormatting>
  <conditionalFormatting sqref="X12:AF158">
    <cfRule type="cellIs" dxfId="82" priority="6" operator="equal">
      <formula>"Nei"</formula>
    </cfRule>
    <cfRule type="cellIs" dxfId="81" priority="7" operator="equal">
      <formula>"Ja"</formula>
    </cfRule>
  </conditionalFormatting>
  <conditionalFormatting sqref="AE159:AE1048576">
    <cfRule type="cellIs" dxfId="80" priority="23" operator="equal">
      <formula>"Nei"</formula>
    </cfRule>
    <cfRule type="cellIs" dxfId="79" priority="24" operator="equal">
      <formula>"Ja"</formula>
    </cfRule>
  </conditionalFormatting>
  <dataValidations count="5">
    <dataValidation type="list" allowBlank="1" showInputMessage="1" showErrorMessage="1" prompt="Produktet er tidligere brukt i en annen bygning eller liknende." sqref="AB12:AB158" xr:uid="{488FB064-48C4-164E-9CB5-970437D02245}">
      <formula1>"Ja,Nei"</formula1>
    </dataValidation>
    <dataValidation type="list" allowBlank="1" showInputMessage="1" showErrorMessage="1" prompt="Ombrukbarhet må være dokumentert etter FutureBuilt's kriterier for sirkulære bygg." sqref="AE12:AE158" xr:uid="{8AEBAF6A-6533-FB4F-96BE-33E1E8952327}">
      <formula1>"Ja,Nei"</formula1>
    </dataValidation>
    <dataValidation type="decimal" allowBlank="1" showInputMessage="1" showErrorMessage="1" errorTitle="Ugyldig verdi" error="Verdien må være mellom 0 og 100%." sqref="L12:N158" xr:uid="{48DE229E-68D8-5947-A0FA-F68DBD7AEA5F}">
      <formula1>0</formula1>
      <formula2>1</formula2>
    </dataValidation>
    <dataValidation type="list" allowBlank="1" showInputMessage="1" showErrorMessage="1" prompt="Er produktet del av energiproduserende utstyr, f.eks. solceller?" sqref="AC12:AD47 AF12:AF47" xr:uid="{A26AB7D8-BB56-5847-913F-A247DE657834}">
      <formula1>"Ja,Nei"</formula1>
    </dataValidation>
    <dataValidation type="list" allowBlank="1" showInputMessage="1" showErrorMessage="1" sqref="AF48:AF158 AE159:AE1048576 AC48:AD158 AB159:AB1048576" xr:uid="{5B46C421-08B8-C049-98C6-0E2577E10B37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1207F3-C4DD-0B42-BD8C-E1BE567D7EDF}">
          <x14:formula1>
            <xm:f>'Lister og verdier'!#REF!</xm:f>
          </x14:formula1>
          <xm:sqref>C12:C158</xm:sqref>
        </x14:dataValidation>
        <x14:dataValidation type="list" allowBlank="1" showInputMessage="1" showErrorMessage="1" xr:uid="{BB001DFD-4469-DD44-8D24-F2066FA22FDC}">
          <x14:formula1>
            <xm:f>'Lister og verdier'!$B$45:$B$56</xm:f>
          </x14:formula1>
          <xm:sqref>W12:W158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D9B4-ACE9-394A-8225-D077ABEFC9F0}">
  <sheetPr codeName="Sheet9">
    <tabColor theme="8" tint="-0.249977111117893"/>
  </sheetPr>
  <dimension ref="B1:AU160"/>
  <sheetViews>
    <sheetView zoomScaleNormal="100" workbookViewId="0">
      <selection activeCell="B18" sqref="B18"/>
    </sheetView>
  </sheetViews>
  <sheetFormatPr defaultColWidth="8.875" defaultRowHeight="15"/>
  <cols>
    <col min="1" max="1" width="2.5" style="1" customWidth="1"/>
    <col min="2" max="2" width="26.875" style="1" customWidth="1"/>
    <col min="3" max="3" width="22.625" style="89" bestFit="1" customWidth="1"/>
    <col min="4" max="4" width="49.875" style="89" bestFit="1" customWidth="1"/>
    <col min="5" max="5" width="12.625" style="308" bestFit="1" customWidth="1"/>
    <col min="6" max="6" width="16.875" style="1" bestFit="1" customWidth="1"/>
    <col min="7" max="7" width="15.125" style="1" bestFit="1" customWidth="1"/>
    <col min="8" max="8" width="19.125" style="1" bestFit="1" customWidth="1"/>
    <col min="9" max="9" width="17.375" style="1" bestFit="1" customWidth="1"/>
    <col min="10" max="11" width="15.625" style="1" bestFit="1" customWidth="1"/>
    <col min="12" max="13" width="21.625" style="1" bestFit="1" customWidth="1"/>
    <col min="14" max="14" width="11.125" style="1" bestFit="1" customWidth="1"/>
    <col min="15" max="15" width="11.625" style="1" bestFit="1" customWidth="1"/>
    <col min="16" max="16" width="19.875" style="1" bestFit="1" customWidth="1"/>
    <col min="17" max="17" width="19.375" style="1" bestFit="1" customWidth="1"/>
    <col min="18" max="18" width="20" style="1" bestFit="1" customWidth="1"/>
    <col min="19" max="19" width="26" style="1" bestFit="1" customWidth="1"/>
    <col min="20" max="20" width="26.875" style="1" bestFit="1" customWidth="1"/>
    <col min="21" max="21" width="20" style="1" bestFit="1" customWidth="1"/>
    <col min="22" max="23" width="24.375" style="1" bestFit="1" customWidth="1"/>
    <col min="24" max="24" width="13.125" style="3" bestFit="1" customWidth="1"/>
    <col min="25" max="25" width="13.5" style="1" bestFit="1" customWidth="1"/>
    <col min="26" max="26" width="15.875" style="1" bestFit="1" customWidth="1"/>
    <col min="27" max="27" width="16.625" style="1" bestFit="1" customWidth="1"/>
    <col min="28" max="28" width="13.625" style="1" bestFit="1" customWidth="1"/>
    <col min="29" max="29" width="10.625" style="1" bestFit="1" customWidth="1"/>
    <col min="30" max="30" width="13.625" style="1" bestFit="1" customWidth="1"/>
    <col min="31" max="31" width="15.625" style="1" bestFit="1" customWidth="1"/>
    <col min="32" max="32" width="21.875" style="1" bestFit="1" customWidth="1"/>
    <col min="33" max="35" width="14.625" style="1" customWidth="1"/>
    <col min="36" max="36" width="4.125" style="1" customWidth="1"/>
    <col min="37" max="37" width="13.125" style="1" bestFit="1" customWidth="1"/>
    <col min="38" max="39" width="16.875" style="1" bestFit="1" customWidth="1"/>
    <col min="40" max="40" width="8.875" style="1"/>
    <col min="41" max="41" width="6.625" style="1" customWidth="1"/>
    <col min="42" max="42" width="8.875" style="1"/>
    <col min="43" max="44" width="9.125" style="1" bestFit="1" customWidth="1"/>
    <col min="45" max="45" width="10.125" style="1" bestFit="1" customWidth="1"/>
    <col min="46" max="16384" width="8.875" style="1"/>
  </cols>
  <sheetData>
    <row r="1" spans="2:47">
      <c r="X1" s="1"/>
    </row>
    <row r="2" spans="2:47" ht="36.950000000000003">
      <c r="B2" s="103" t="s">
        <v>392</v>
      </c>
      <c r="X2" s="1"/>
    </row>
    <row r="3" spans="2:47">
      <c r="B3" s="303" t="s">
        <v>317</v>
      </c>
      <c r="X3" s="1"/>
    </row>
    <row r="4" spans="2:47" ht="15.95">
      <c r="B4" s="8" t="s">
        <v>318</v>
      </c>
      <c r="X4" s="1"/>
    </row>
    <row r="5" spans="2:47">
      <c r="X5" s="1"/>
    </row>
    <row r="6" spans="2:47">
      <c r="X6" s="1"/>
    </row>
    <row r="7" spans="2:47" s="181" customFormat="1" ht="53.1" customHeight="1">
      <c r="B7" s="371"/>
      <c r="C7" s="372"/>
      <c r="D7" s="459"/>
      <c r="E7" s="828"/>
      <c r="F7" s="832" t="s">
        <v>268</v>
      </c>
      <c r="G7" s="772"/>
      <c r="H7" s="772"/>
      <c r="I7" s="772"/>
      <c r="J7" s="772"/>
      <c r="K7" s="772"/>
      <c r="L7" s="772"/>
      <c r="M7" s="772"/>
      <c r="N7" s="773"/>
      <c r="O7" s="773"/>
      <c r="P7" s="773"/>
      <c r="Q7" s="772"/>
      <c r="R7" s="772"/>
      <c r="S7" s="772"/>
      <c r="T7" s="772"/>
      <c r="U7" s="772"/>
      <c r="V7" s="810" t="s">
        <v>393</v>
      </c>
      <c r="W7" s="810"/>
      <c r="X7" s="810"/>
      <c r="Y7" s="810"/>
      <c r="Z7" s="810"/>
      <c r="AA7" s="810"/>
      <c r="AB7" s="833"/>
      <c r="AC7" s="811" t="s">
        <v>394</v>
      </c>
      <c r="AD7" s="812"/>
      <c r="AE7" s="812"/>
      <c r="AF7" s="834"/>
      <c r="AG7" s="768" t="s">
        <v>322</v>
      </c>
      <c r="AH7" s="769"/>
      <c r="AI7" s="770"/>
      <c r="AJ7" s="83"/>
      <c r="AK7" s="801" t="s">
        <v>323</v>
      </c>
      <c r="AL7" s="801"/>
      <c r="AM7" s="801"/>
    </row>
    <row r="8" spans="2:47" s="182" customFormat="1" ht="32.1" customHeight="1">
      <c r="B8" s="793" t="s">
        <v>324</v>
      </c>
      <c r="C8" s="794"/>
      <c r="D8" s="446">
        <f>SUM(F9:AF9)</f>
        <v>2112.1645433721633</v>
      </c>
      <c r="E8" s="829"/>
      <c r="F8" s="774" t="s">
        <v>325</v>
      </c>
      <c r="G8" s="775"/>
      <c r="H8" s="775"/>
      <c r="I8" s="775"/>
      <c r="J8" s="775"/>
      <c r="K8" s="775"/>
      <c r="L8" s="775"/>
      <c r="M8" s="775"/>
      <c r="N8" s="776" t="s">
        <v>326</v>
      </c>
      <c r="O8" s="777"/>
      <c r="P8" s="778"/>
      <c r="Q8" s="783" t="s">
        <v>327</v>
      </c>
      <c r="R8" s="783"/>
      <c r="S8" s="783"/>
      <c r="T8" s="783"/>
      <c r="U8" s="783"/>
      <c r="V8" s="774" t="s">
        <v>328</v>
      </c>
      <c r="W8" s="775"/>
      <c r="X8" s="807" t="s">
        <v>329</v>
      </c>
      <c r="Y8" s="783"/>
      <c r="Z8" s="783"/>
      <c r="AA8" s="783"/>
      <c r="AB8" s="808"/>
      <c r="AC8" s="310" t="s">
        <v>330</v>
      </c>
      <c r="AD8" s="311" t="s">
        <v>331</v>
      </c>
      <c r="AE8" s="807" t="s">
        <v>332</v>
      </c>
      <c r="AF8" s="808"/>
      <c r="AG8" s="765" t="s">
        <v>333</v>
      </c>
      <c r="AH8" s="766"/>
      <c r="AI8" s="767"/>
      <c r="AJ8" s="84"/>
      <c r="AK8" s="82" t="s">
        <v>325</v>
      </c>
      <c r="AL8" s="82" t="s">
        <v>326</v>
      </c>
      <c r="AM8" s="82" t="s">
        <v>329</v>
      </c>
    </row>
    <row r="9" spans="2:47" s="77" customFormat="1" ht="15" customHeight="1">
      <c r="B9" s="842" t="s">
        <v>267</v>
      </c>
      <c r="C9" s="773"/>
      <c r="D9" s="773"/>
      <c r="E9" s="456" t="s">
        <v>334</v>
      </c>
      <c r="F9" s="457">
        <f>SUM(F14:F160)</f>
        <v>40000</v>
      </c>
      <c r="G9" s="457">
        <f t="shared" ref="G9:AF9" si="0">SUM(G14:G160)</f>
        <v>-32000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800</v>
      </c>
      <c r="R9" s="457">
        <f t="shared" si="0"/>
        <v>0</v>
      </c>
      <c r="S9" s="457">
        <f t="shared" si="0"/>
        <v>30</v>
      </c>
      <c r="T9" s="457">
        <f t="shared" si="0"/>
        <v>24.9</v>
      </c>
      <c r="U9" s="457">
        <f t="shared" si="0"/>
        <v>791.85599999999999</v>
      </c>
      <c r="V9" s="457">
        <f t="shared" si="0"/>
        <v>-845.7970814690467</v>
      </c>
      <c r="W9" s="457">
        <f t="shared" si="0"/>
        <v>0</v>
      </c>
      <c r="X9" s="457">
        <f t="shared" si="0"/>
        <v>0</v>
      </c>
      <c r="Y9" s="457">
        <f t="shared" si="0"/>
        <v>0</v>
      </c>
      <c r="Z9" s="457">
        <f t="shared" si="0"/>
        <v>0</v>
      </c>
      <c r="AA9" s="457">
        <f t="shared" si="0"/>
        <v>0</v>
      </c>
      <c r="AB9" s="457">
        <f t="shared" si="0"/>
        <v>0</v>
      </c>
      <c r="AC9" s="457">
        <f t="shared" si="0"/>
        <v>31.551413713828154</v>
      </c>
      <c r="AD9" s="457">
        <f t="shared" si="0"/>
        <v>483.67609213953739</v>
      </c>
      <c r="AE9" s="457">
        <f t="shared" si="0"/>
        <v>-7162.2160677908414</v>
      </c>
      <c r="AF9" s="458">
        <f t="shared" si="0"/>
        <v>-341.80581322131457</v>
      </c>
      <c r="AG9" s="449"/>
      <c r="AH9" s="565"/>
      <c r="AI9" s="566"/>
      <c r="AJ9" s="309"/>
      <c r="AK9" s="92" cm="1">
        <f t="array" ref="AK9">SUM(IFERROR(AK14:AK160,0))</f>
        <v>40000</v>
      </c>
      <c r="AL9" s="93" cm="1">
        <f t="array" ref="AL9">SUM(IFERROR(AL14:AL160,0))</f>
        <v>300</v>
      </c>
      <c r="AM9" s="93" cm="1">
        <f t="array" ref="AM9">SUM(IFERROR(AM14:AM160,0))</f>
        <v>0</v>
      </c>
    </row>
    <row r="10" spans="2:47" s="77" customFormat="1" ht="15" customHeight="1">
      <c r="B10" s="809"/>
      <c r="C10" s="810"/>
      <c r="D10" s="810"/>
      <c r="E10" s="813"/>
      <c r="F10" s="843" t="s">
        <v>395</v>
      </c>
      <c r="G10" s="368"/>
      <c r="H10" s="368"/>
      <c r="I10" s="368"/>
      <c r="J10" s="368"/>
      <c r="K10" s="368"/>
      <c r="L10" s="368"/>
      <c r="M10" s="368"/>
      <c r="N10" s="830" t="s">
        <v>335</v>
      </c>
      <c r="O10" s="830" t="s">
        <v>335</v>
      </c>
      <c r="P10" s="830" t="s">
        <v>335</v>
      </c>
      <c r="Q10" s="835" t="s">
        <v>336</v>
      </c>
      <c r="R10" s="835" t="s">
        <v>336</v>
      </c>
      <c r="S10" s="835" t="s">
        <v>336</v>
      </c>
      <c r="T10" s="835" t="s">
        <v>336</v>
      </c>
      <c r="U10" s="835" t="s">
        <v>336</v>
      </c>
      <c r="V10" s="839"/>
      <c r="W10" s="840"/>
      <c r="X10" s="836"/>
      <c r="Y10" s="835"/>
      <c r="Z10" s="835"/>
      <c r="AA10" s="835"/>
      <c r="AB10" s="850"/>
      <c r="AC10" s="835"/>
      <c r="AD10" s="835"/>
      <c r="AE10" s="369"/>
      <c r="AF10" s="852"/>
      <c r="AG10" s="559"/>
      <c r="AH10" s="313"/>
      <c r="AI10" s="571"/>
      <c r="AJ10" s="81"/>
      <c r="AK10" s="845" t="s">
        <v>337</v>
      </c>
      <c r="AL10" s="795" t="s">
        <v>338</v>
      </c>
      <c r="AM10" s="795" t="s">
        <v>339</v>
      </c>
    </row>
    <row r="11" spans="2:47" s="78" customFormat="1" ht="15.95" customHeight="1">
      <c r="B11" s="809"/>
      <c r="C11" s="810"/>
      <c r="D11" s="810"/>
      <c r="E11" s="814"/>
      <c r="F11" s="844"/>
      <c r="G11" s="370"/>
      <c r="H11" s="370"/>
      <c r="I11" s="370"/>
      <c r="J11" s="370"/>
      <c r="K11" s="370"/>
      <c r="L11" s="370"/>
      <c r="M11" s="370"/>
      <c r="N11" s="831"/>
      <c r="O11" s="831"/>
      <c r="P11" s="831"/>
      <c r="Q11" s="838"/>
      <c r="R11" s="838"/>
      <c r="S11" s="838"/>
      <c r="T11" s="838"/>
      <c r="U11" s="838"/>
      <c r="V11" s="839"/>
      <c r="W11" s="841"/>
      <c r="X11" s="837"/>
      <c r="Y11" s="835"/>
      <c r="Z11" s="835"/>
      <c r="AA11" s="835"/>
      <c r="AB11" s="851"/>
      <c r="AC11" s="835"/>
      <c r="AD11" s="835"/>
      <c r="AE11" s="369"/>
      <c r="AF11" s="852"/>
      <c r="AG11" s="559"/>
      <c r="AH11" s="313"/>
      <c r="AI11" s="571"/>
      <c r="AJ11" s="80"/>
      <c r="AK11" s="846"/>
      <c r="AL11" s="796"/>
      <c r="AM11" s="796"/>
    </row>
    <row r="12" spans="2:47" s="78" customFormat="1" ht="36" customHeight="1">
      <c r="B12" s="811"/>
      <c r="C12" s="812"/>
      <c r="D12" s="812"/>
      <c r="E12" s="815"/>
      <c r="F12" s="362" t="s">
        <v>340</v>
      </c>
      <c r="G12" s="350" t="s">
        <v>341</v>
      </c>
      <c r="H12" s="350" t="s">
        <v>341</v>
      </c>
      <c r="I12" s="350" t="s">
        <v>341</v>
      </c>
      <c r="J12" s="363" t="s">
        <v>340</v>
      </c>
      <c r="K12" s="350" t="s">
        <v>341</v>
      </c>
      <c r="L12" s="350" t="s">
        <v>340</v>
      </c>
      <c r="M12" s="364" t="s">
        <v>341</v>
      </c>
      <c r="N12" s="365" t="s">
        <v>338</v>
      </c>
      <c r="O12" s="365" t="s">
        <v>338</v>
      </c>
      <c r="P12" s="365" t="s">
        <v>338</v>
      </c>
      <c r="Q12" s="366" t="s">
        <v>337</v>
      </c>
      <c r="R12" s="350" t="s">
        <v>341</v>
      </c>
      <c r="S12" s="350" t="s">
        <v>338</v>
      </c>
      <c r="T12" s="350" t="s">
        <v>338</v>
      </c>
      <c r="U12" s="364" t="s">
        <v>307</v>
      </c>
      <c r="V12" s="364" t="s">
        <v>341</v>
      </c>
      <c r="W12" s="364" t="s">
        <v>341</v>
      </c>
      <c r="X12" s="364" t="s">
        <v>337</v>
      </c>
      <c r="Y12" s="364" t="s">
        <v>341</v>
      </c>
      <c r="Z12" s="848" t="s">
        <v>338</v>
      </c>
      <c r="AA12" s="849"/>
      <c r="AB12" s="367" t="s">
        <v>307</v>
      </c>
      <c r="AC12" s="322" t="s">
        <v>338</v>
      </c>
      <c r="AD12" s="367" t="s">
        <v>307</v>
      </c>
      <c r="AE12" s="365" t="s">
        <v>251</v>
      </c>
      <c r="AF12" s="365" t="s">
        <v>342</v>
      </c>
      <c r="AG12" s="825" t="s">
        <v>343</v>
      </c>
      <c r="AH12" s="826"/>
      <c r="AI12" s="827"/>
      <c r="AJ12" s="80"/>
      <c r="AK12" s="846"/>
      <c r="AL12" s="796"/>
      <c r="AM12" s="796"/>
      <c r="AQ12" s="657"/>
      <c r="AR12" s="657"/>
      <c r="AS12" s="657"/>
    </row>
    <row r="13" spans="2:47" s="214" customFormat="1" ht="30.95">
      <c r="B13" s="324" t="s">
        <v>375</v>
      </c>
      <c r="C13" s="325" t="s">
        <v>288</v>
      </c>
      <c r="D13" s="326" t="s">
        <v>289</v>
      </c>
      <c r="E13" s="422" t="s">
        <v>344</v>
      </c>
      <c r="F13" s="326" t="s">
        <v>345</v>
      </c>
      <c r="G13" s="326" t="s">
        <v>346</v>
      </c>
      <c r="H13" s="326" t="s">
        <v>347</v>
      </c>
      <c r="I13" s="326" t="s">
        <v>348</v>
      </c>
      <c r="J13" s="326" t="s">
        <v>349</v>
      </c>
      <c r="K13" s="326" t="s">
        <v>350</v>
      </c>
      <c r="L13" s="326" t="s">
        <v>351</v>
      </c>
      <c r="M13" s="326" t="s">
        <v>352</v>
      </c>
      <c r="N13" s="326" t="s">
        <v>326</v>
      </c>
      <c r="O13" s="326" t="s">
        <v>353</v>
      </c>
      <c r="P13" s="326" t="s">
        <v>354</v>
      </c>
      <c r="Q13" s="326" t="s">
        <v>355</v>
      </c>
      <c r="R13" s="326" t="s">
        <v>356</v>
      </c>
      <c r="S13" s="326" t="s">
        <v>357</v>
      </c>
      <c r="T13" s="326" t="s">
        <v>358</v>
      </c>
      <c r="U13" s="326" t="s">
        <v>359</v>
      </c>
      <c r="V13" s="326" t="s">
        <v>396</v>
      </c>
      <c r="W13" s="326" t="s">
        <v>361</v>
      </c>
      <c r="X13" s="326" t="s">
        <v>397</v>
      </c>
      <c r="Y13" s="326" t="s">
        <v>363</v>
      </c>
      <c r="Z13" s="326" t="s">
        <v>364</v>
      </c>
      <c r="AA13" s="326" t="s">
        <v>365</v>
      </c>
      <c r="AB13" s="326" t="s">
        <v>398</v>
      </c>
      <c r="AC13" s="326" t="s">
        <v>330</v>
      </c>
      <c r="AD13" s="326" t="s">
        <v>331</v>
      </c>
      <c r="AE13" s="326" t="s">
        <v>367</v>
      </c>
      <c r="AF13" s="326" t="s">
        <v>368</v>
      </c>
      <c r="AG13" s="564" t="s">
        <v>307</v>
      </c>
      <c r="AH13" s="564" t="s">
        <v>248</v>
      </c>
      <c r="AI13" s="564" t="s">
        <v>369</v>
      </c>
      <c r="AJ13" s="655"/>
      <c r="AK13" s="847"/>
      <c r="AL13" s="797"/>
      <c r="AM13" s="797"/>
      <c r="AQ13" s="658"/>
      <c r="AR13" s="658"/>
      <c r="AS13" s="658"/>
    </row>
    <row r="14" spans="2:47" s="79" customFormat="1">
      <c r="B14" s="614" t="str">
        <f>'Tillegg- Inndata GoF'!B12</f>
        <v>21 Grunn og 
fundamenter</v>
      </c>
      <c r="C14" s="615" t="str">
        <f>'Tillegg- Inndata GoF'!C12</f>
        <v>Et normalt produkt</v>
      </c>
      <c r="D14" s="616" t="str">
        <f>'Tillegg- Inndata GoF'!D12</f>
        <v>Et tilfeldig treprodukt</v>
      </c>
      <c r="E14" s="660" cm="1">
        <f t="array" ref="E14">SUM(IFERROR(F14:AF14,0))</f>
        <v>2112.1645433721633</v>
      </c>
      <c r="F14" s="617">
        <f>'Tillegg- Inndata GoF'!E12</f>
        <v>40000</v>
      </c>
      <c r="G14" s="617">
        <f>IF('Tillegg- Inndata GoF'!AB12="Ja", -0.8*'Tillegg- Res. detaljert GoF'!$F14, 0)</f>
        <v>-32000</v>
      </c>
      <c r="H14" s="617">
        <f>IF('Tillegg- Inndata GoF'!AC12="Ja", -0.4*'Tillegg- Res. detaljert GoF'!$F14, 0)</f>
        <v>0</v>
      </c>
      <c r="I14" s="617">
        <f>IF('Tillegg- Inndata GoF'!AD12="Ja", -1*'Tillegg- Res. detaljert GoF'!$F14, 0)</f>
        <v>0</v>
      </c>
      <c r="J14" s="617">
        <f>'Tillegg- Inndata GoF'!O12*'Tillegg- Inndata GoF'!P12</f>
        <v>0</v>
      </c>
      <c r="K14" s="617">
        <f>MAX(-0.75*(SUM('Tillegg- Res. detaljert GoF'!F14:J14)),-'Tillegg- Inndata GoF'!O12*'Tillegg- Inndata GoF'!Q12)</f>
        <v>0</v>
      </c>
      <c r="L14" s="617">
        <f>'Tillegg- Inndata GoF'!S12*'Tillegg- Inndata GoF'!T12</f>
        <v>0</v>
      </c>
      <c r="M14" s="617">
        <f>MAX(-0.75*(SUM('Tillegg- Res. detaljert GoF'!F14:I14,L14)),-'Tillegg- Inndata GoF'!S12*'Tillegg- Inndata GoF'!U12)</f>
        <v>0</v>
      </c>
      <c r="N14" s="618">
        <f>'Tillegg- Inndata GoF'!F12</f>
        <v>300</v>
      </c>
      <c r="O14" s="617">
        <f>'Tillegg- Inndata GoF'!O12*'Tillegg- Inndata GoF'!R12</f>
        <v>0</v>
      </c>
      <c r="P14" s="619">
        <f>'Tillegg- Inndata GoF'!S12*'Tillegg- Inndata GoF'!V12</f>
        <v>0</v>
      </c>
      <c r="Q14" s="621">
        <f>SUM(F14:J14,L14)*'Tillegg- Inndata GoF'!K12</f>
        <v>800</v>
      </c>
      <c r="R14" s="621">
        <f>(K14+M14)*'Tillegg- Inndata GoF'!K12</f>
        <v>0</v>
      </c>
      <c r="S14" s="621">
        <f>SUM(N14:P14)*'Tillegg- Inndata GoF'!K12</f>
        <v>30</v>
      </c>
      <c r="T14" s="622">
        <f>('Tillegg- Inndata GoF'!G12+'Tillegg- Inndata GoF'!O12+'Tillegg- Inndata GoF'!S12)*'Tillegg- Inndata GoF'!K12*Transport_utslipp_til_avfallshånderting_per_kg</f>
        <v>24.9</v>
      </c>
      <c r="U14" s="617">
        <f>IF('Tillegg- Inndata GoF'!E12 = 0, 0, 1.833*'Tillegg- Inndata GoF'!X12*'Tillegg- Inndata GoF'!K12*('Tillegg- Inndata GoF'!G12*('Tillegg- Inndata GoF'!L12*0.5+'Tillegg- Inndata GoF'!M12*0.8) + (12/44)*('Tillegg- Inndata GoF'!O12*'Tillegg- Inndata GoF'!Q12+'Tillegg- Inndata GoF'!S12*'Tillegg- Inndata GoF'!U12)))</f>
        <v>791.85599999999999</v>
      </c>
      <c r="V14" s="623">
        <f>IF('Tillegg- Inndata GoF'!G12 = 0, 0,  MAX(-SUM(F14:J14,L14)*'Tillegg- Inndata GoF'!L12, -0.114*IF('Tillegg- Inndata GoF'!H12 &gt; 49, _xlfn.XLOOKUP(49, År_etter_ferdigstillelse, karbon_opptak_faktor), _xlfn.XLOOKUP('Tillegg- Inndata GoF'!H12, År_etter_ferdigstillelse, karbon_opptak_faktor))*'Tillegg- Inndata GoF'!G12*'Tillegg- Inndata GoF'!L12*0.5))</f>
        <v>-845.7970814690467</v>
      </c>
      <c r="W14" s="621">
        <f>IF('Tillegg- Inndata GoF'!G12=0,0,IF('Tillegg- Inndata GoF'!H12&gt;49,-0.064*'Tillegg- Inndata GoF'!G12*'Tillegg- Inndata GoF'!N12,-0.037*'Tillegg- Inndata GoF'!J12*'Tillegg- Inndata GoF'!N12))</f>
        <v>0</v>
      </c>
      <c r="X14" s="618" cm="1">
        <f t="array" ref="X14">IF(SUM(F14:J14,L14)=0, 0, SUM(F14:J14,L14)*(1+'Tillegg-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Y14" s="617" cm="1">
        <f t="array" ref="Y14">IF(X14=0, 0, SUM(K14,M14)*(1+'Tillegg-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Z14" s="625" cm="1">
        <f t="array" ref="Z14">IF(X14=0, 0, SUM(N14:P14)*(1+'Tillegg-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AA14" s="625" cm="1">
        <f t="array" ref="AA14">IF(X14=0, 0, ('Tillegg- Inndata GoF'!G12+'Tillegg- Inndata GoF'!O12+'Tillegg- Inndata GoF'!S12)*(1+'Tillegg- Inndata GoF'!K12)*Transport_utslipp_til_avfallshånderting_per_kg*IF('Tillegg- Inndata GoF'!H12&gt;50, 0, _xlfn.XLOOKUP('Tillegg- Inndata GoF'!H12, År_etter_ferdigstillelse, IF(VALUE(LEFT('Tillegg- Inndata GoF'!B12, 2))= 49, f_tid_x_f_tek_d_0_037_kumulativ, f_tid_x_f_tek_d_0_01_kumulativ))))</f>
        <v>0</v>
      </c>
      <c r="AB14" s="622" cm="1">
        <f t="array" ref="AB14">IF(X14=0, 0,1.833*'Tillegg- Inndata GoF'!J12*('Tillegg- Inndata GoF'!X12*_xlfn.XLOOKUP(IF('Tillegg- Inndata GoF'!I12&lt;2,'Tillegg- Inndata GoF'!H12,'Tillegg- Inndata GoF'!H12*2), År_etter_ferdigstillelse, Faktorer!$Z$7:$Z$58))*('Tillegg- Inndata GoF'!L12*0.5+'Tillegg- Inndata GoF'!M12*0.8)*_xlfn.XLOOKUP(IF('Tillegg- Inndata GoF'!I12&lt;2,'Tillegg- Inndata GoF'!H12,'Tillegg- Inndata GoF'!H12*2), År_etter_ferdigstillelse,  IF(LEFT('Tillegg- Inndata GoF'!B12, 2)= 49, f_tid_x_f_tek_d_0_037, f_tid_x_f_tek_d_0_01)))</f>
        <v>0</v>
      </c>
      <c r="AC14" s="623">
        <f>IF(('Tillegg- Inndata GoF'!G12) = 0, 0,(('Tillegg- Inndata GoF'!G12)*((AG14+AI14)*Transport_utslipp_til_avfallshånderting_per_kg)+('Tillegg- Inndata GoF'!Z12*'ZERO-B Beregning'!D114)*IF('ZERO-B Beregning'!F115=0,'ZERO-B Beregning'!D115,'ZERO-B Beregning'!F115))*_xlfn.XLOOKUP(51, År_etter_ferdigstillelse, f_tid_x_f_tek_d_0_01))</f>
        <v>31.551413713828154</v>
      </c>
      <c r="AD14" s="675">
        <f>IF(('Tillegg- Inndata GoF'!G12) = 0, 0,1.833*('Tillegg- Inndata GoF'!G12*('Tillegg- Inndata GoF'!L12*0.5+'Tillegg- Inndata GoF'!M12*0.8)*AG14*_xlfn.XLOOKUP(51, År_etter_ferdigstillelse,  f_tid_x_f_tek_d_0_01)))</f>
        <v>483.67609213953739</v>
      </c>
      <c r="AE14" s="621" cm="1">
        <f t="array" ref="AE14">IF(('Tillegg- Inndata GoF'!G12) = 0, 0,-0.8*('Tillegg- Inndata GoF'!G12)*AH14*('Tillegg- Inndata GoF'!E12/'Tillegg- Inndata GoF'!G12)*_xlfn.XLOOKUP(51, År_etter_ferdigstillelse,  IF(LEFT('Tillegg- Inndata GoF'!B12, 2)= 49, f_tid_x_f_tek_d_0_037, f_tid_x_f_tek_d_0_01)))</f>
        <v>-7162.2160677908414</v>
      </c>
      <c r="AF14" s="676" cm="1">
        <f t="array" ref="AF14">IF(('Tillegg- Inndata GoF'!G12) = 0, 0,-0.1*('Tillegg- Inndata GoF'!G12)*AI14*('Tillegg- Inndata GoF'!E12/'Tillegg- Inndata GoF'!G12)*_xlfn.XLOOKUP(51, År_etter_ferdigstillelse,  IF(LEFT('Tillegg- Inndata GoF'!B12, 2)= 49, f_tid_x_f_tek_d_0_037, f_tid_x_f_tek_d_0_01)))</f>
        <v>-341.80581322131457</v>
      </c>
      <c r="AG14" s="629">
        <f>IF(('Tillegg- Inndata GoF'!G12) = 0, 0,'Tillegg- Inndata GoF'!X12*Faktorer!$Z$58)</f>
        <v>0.10594601322968029</v>
      </c>
      <c r="AH14" s="630">
        <f>IF(('Tillegg- Inndata GoF'!G12) = 0, 0,'Tillegg- Inndata GoF'!Z12+('Tillegg- Inndata GoF'!X12+'Tillegg- Inndata GoF'!Y12)*(1-Faktorer!$Z$58)*0.5)</f>
        <v>0.64702699338515979</v>
      </c>
      <c r="AI14" s="631">
        <f>IF(('Tillegg- Inndata GoF'!G12) = 0, 0,'Tillegg- Inndata GoF'!AA12+('Tillegg- Inndata GoF'!X12+'Tillegg- Inndata GoF'!Y12)*(1-Faktorer!$Z$58)*0.5)</f>
        <v>0.24702699338515982</v>
      </c>
      <c r="AJ14" s="656"/>
      <c r="AK14" s="90">
        <f>F14</f>
        <v>40000</v>
      </c>
      <c r="AL14" s="91">
        <f>'Tillegg- Res. detaljert GoF'!N14</f>
        <v>300</v>
      </c>
      <c r="AM14" s="91" t="e">
        <f>IF(F14=0,"",('Tillegg- Inndata GoF'!E14+'Tillegg- Inndata GoF'!F14)*ROUNDDOWN('Tillegg- Inndata GoF'!I14,0)*(1+'Tillegg- Inndata GoF'!K14))</f>
        <v>#VALUE!</v>
      </c>
    </row>
    <row r="15" spans="2:47" s="183" customFormat="1">
      <c r="B15" s="327">
        <f>'Tillegg- Inndata GoF'!B13</f>
        <v>0</v>
      </c>
      <c r="C15" s="328">
        <f>'Tillegg- Inndata GoF'!C13</f>
        <v>0</v>
      </c>
      <c r="D15" s="329">
        <f>'Tillegg- Inndata GoF'!D13</f>
        <v>0</v>
      </c>
      <c r="E15" s="661" cm="1">
        <f t="array" ref="E15">SUM(IFERROR(F15:AF15,0))</f>
        <v>0</v>
      </c>
      <c r="F15" s="330">
        <f>'Tillegg- Inndata GoF'!E13</f>
        <v>0</v>
      </c>
      <c r="G15" s="330">
        <f>IF('Tillegg- Inndata GoF'!AB13="Ja", -0.8*'Tillegg- Res. detaljert GoF'!$F15, 0)</f>
        <v>0</v>
      </c>
      <c r="H15" s="330">
        <f>IF('Tillegg- Inndata GoF'!AC13="Ja", -0.4*'Tillegg- Res. detaljert GoF'!$F15, 0)</f>
        <v>0</v>
      </c>
      <c r="I15" s="330">
        <f>IF('Tillegg- Inndata GoF'!AD13="Ja", -1*'Tillegg- Res. detaljert GoF'!$F15, 0)</f>
        <v>0</v>
      </c>
      <c r="J15" s="330">
        <f>'Tillegg- Inndata GoF'!O13*'Tillegg- Inndata GoF'!P13</f>
        <v>0</v>
      </c>
      <c r="K15" s="330">
        <f>MAX(-0.75*(SUM('Tillegg- Res. detaljert GoF'!F15:J15)),-'Tillegg- Inndata GoF'!O13*'Tillegg- Inndata GoF'!Q13)</f>
        <v>0</v>
      </c>
      <c r="L15" s="330">
        <f>'Tillegg- Inndata GoF'!S13*'Tillegg- Inndata GoF'!T13</f>
        <v>0</v>
      </c>
      <c r="M15" s="330">
        <f>MAX(-0.75*(SUM('Tillegg- Res. detaljert GoF'!F15:I15,L15)),-'Tillegg- Inndata GoF'!S13*'Tillegg- Inndata GoF'!U13)</f>
        <v>0</v>
      </c>
      <c r="N15" s="331">
        <f>'Tillegg- Inndata GoF'!F13</f>
        <v>0</v>
      </c>
      <c r="O15" s="330">
        <f>'Tillegg- Inndata GoF'!O13*'Tillegg- Inndata GoF'!R13</f>
        <v>0</v>
      </c>
      <c r="P15" s="332">
        <f>'Tillegg- Inndata GoF'!S13*'Tillegg- Inndata GoF'!V13</f>
        <v>0</v>
      </c>
      <c r="Q15" s="333">
        <f>SUM(F15:J15,L15)*'Tillegg- Inndata GoF'!K13</f>
        <v>0</v>
      </c>
      <c r="R15" s="333">
        <f>(K15+M15)*'Tillegg- Inndata GoF'!K13</f>
        <v>0</v>
      </c>
      <c r="S15" s="333">
        <f>SUM(N15:P15)*'Tillegg- Inndata GoF'!K13</f>
        <v>0</v>
      </c>
      <c r="T15" s="334">
        <f>('Tillegg- Inndata GoF'!G13+'Tillegg- Inndata GoF'!O13+'Tillegg- Inndata GoF'!S13)*'Tillegg- Inndata GoF'!K13*Transport_utslipp_til_avfallshånderting_per_kg</f>
        <v>0</v>
      </c>
      <c r="U15" s="330">
        <f>IF('Tillegg- Inndata GoF'!E13 = 0, 0, 1.833*'Tillegg- Inndata GoF'!X13*'Tillegg- Inndata GoF'!K13*('Tillegg- Inndata GoF'!G13*('Tillegg- Inndata GoF'!L13*0.5+'Tillegg- Inndata GoF'!M13*0.8) + (12/44)*('Tillegg- Inndata GoF'!O13*'Tillegg- Inndata GoF'!Q13+'Tillegg- Inndata GoF'!S13*'Tillegg- Inndata GoF'!U13)))</f>
        <v>0</v>
      </c>
      <c r="V15" s="335">
        <f>IF('Tillegg- Inndata GoF'!G13 = 0, 0,  MAX(-SUM(F15:J15,L15)*'Tillegg- Inndata GoF'!L13, -0.114*IF('Tillegg- Inndata GoF'!H13 &gt; 49, _xlfn.XLOOKUP(49, År_etter_ferdigstillelse, karbon_opptak_faktor), _xlfn.XLOOKUP('Tillegg- Inndata GoF'!H13, År_etter_ferdigstillelse, karbon_opptak_faktor))*'Tillegg- Inndata GoF'!G13*'Tillegg- Inndata GoF'!L13*0.5))</f>
        <v>0</v>
      </c>
      <c r="W15" s="333">
        <f>IF('Tillegg- Inndata GoF'!G13=0,0,IF('Tillegg- Inndata GoF'!H13&gt;49,-0.064*'Tillegg- Inndata GoF'!G13*'Tillegg- Inndata GoF'!N13,-0.037*'Tillegg- Inndata GoF'!J13*'Tillegg- Inndata GoF'!N13))</f>
        <v>0</v>
      </c>
      <c r="X15" s="331" cm="1">
        <f t="array" ref="X15">IF(SUM(F15:J15,L15)=0, 0, SUM(F15:J15,L15)*(1+'Tillegg-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Y15" s="330" cm="1">
        <f t="array" ref="Y15">IF(X15=0, 0, SUM(K15,M15)*(1+'Tillegg-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Z15" s="336" cm="1">
        <f t="array" ref="Z15">IF(X15=0, 0, SUM(N15:P15)*(1+'Tillegg-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AA15" s="336" cm="1">
        <f t="array" ref="AA15">IF(X15=0, 0, ('Tillegg- Inndata GoF'!G13+'Tillegg- Inndata GoF'!O13+'Tillegg- Inndata GoF'!S13)*(1+'Tillegg- Inndata GoF'!K13)*Transport_utslipp_til_avfallshånderting_per_kg*IF('Tillegg- Inndata GoF'!H13&gt;50, 0, _xlfn.XLOOKUP('Tillegg- Inndata GoF'!H13, År_etter_ferdigstillelse, IF(VALUE(LEFT('Tillegg- Inndata GoF'!B13, 2))= 49, f_tid_x_f_tek_d_0_037_kumulativ, f_tid_x_f_tek_d_0_01_kumulativ))))</f>
        <v>0</v>
      </c>
      <c r="AB15" s="334" cm="1">
        <f t="array" ref="AB15">IF(X15=0, 0,1.833*'Tillegg- Inndata GoF'!J13*('Tillegg- Inndata GoF'!X13*_xlfn.XLOOKUP(IF('Tillegg- Inndata GoF'!I13&lt;2,'Tillegg- Inndata GoF'!H13,'Tillegg- Inndata GoF'!H13*2), År_etter_ferdigstillelse, Faktorer!$Z$7:$Z$58))*('Tillegg- Inndata GoF'!L13*0.5+'Tillegg- Inndata GoF'!M13*0.8)*_xlfn.XLOOKUP(IF('Tillegg- Inndata GoF'!I13&lt;2,'Tillegg- Inndata GoF'!H13,'Tillegg- Inndata GoF'!H13*2), År_etter_ferdigstillelse,  IF(LEFT('Tillegg- Inndata GoF'!B13, 2)= 49, f_tid_x_f_tek_d_0_037, f_tid_x_f_tek_d_0_01)))</f>
        <v>0</v>
      </c>
      <c r="AC15" s="335">
        <f>IF(('Tillegg- Inndata GoF'!G13) = 0, 0,(('Tillegg- Inndata GoF'!G13)*((AG15+AI15)*Transport_utslipp_til_avfallshånderting_per_kg)+('Tillegg- Inndata GoF'!Z13*'ZERO-B Beregning'!D115)*IF('ZERO-B Beregning'!F116=0,'ZERO-B Beregning'!D116,'ZERO-B Beregning'!F116))*_xlfn.XLOOKUP(51, År_etter_ferdigstillelse, f_tid_x_f_tek_d_0_01))</f>
        <v>0</v>
      </c>
      <c r="AD15" s="337">
        <f>IF(('Tillegg- Inndata GoF'!G13) = 0, 0,1.833*('Tillegg- Inndata GoF'!G13*('Tillegg- Inndata GoF'!L13*0.5+'Tillegg- Inndata GoF'!M13*0.8)*AG15*_xlfn.XLOOKUP(51, År_etter_ferdigstillelse,  f_tid_x_f_tek_d_0_01)))</f>
        <v>0</v>
      </c>
      <c r="AE15" s="333" cm="1">
        <f t="array" ref="AE15">IF(('Tillegg- Inndata GoF'!G13) = 0, 0,-0.8*('Tillegg- Inndata GoF'!G13)*AH15*('Tillegg- Inndata GoF'!E13/'Tillegg- Inndata GoF'!G13)*_xlfn.XLOOKUP(51, År_etter_ferdigstillelse,  IF(LEFT('Tillegg- Inndata GoF'!B13, 2)= 49, f_tid_x_f_tek_d_0_037, f_tid_x_f_tek_d_0_01)))</f>
        <v>0</v>
      </c>
      <c r="AF15" s="338" cm="1">
        <f t="array" ref="AF15">IF(('Tillegg- Inndata GoF'!G13) = 0, 0,-0.1*('Tillegg- Inndata GoF'!G13)*AI15*('Tillegg- Inndata GoF'!E13/'Tillegg- Inndata GoF'!G13)*_xlfn.XLOOKUP(51, År_etter_ferdigstillelse,  IF(LEFT('Tillegg- Inndata GoF'!B13, 2)= 49, f_tid_x_f_tek_d_0_037, f_tid_x_f_tek_d_0_01)))</f>
        <v>0</v>
      </c>
      <c r="AG15" s="572">
        <f>IF(('Tillegg- Inndata GoF'!G13) = 0, 0,'Tillegg- Inndata GoF'!X13*Faktorer!$Z$58)</f>
        <v>0</v>
      </c>
      <c r="AH15" s="573">
        <f>IF(('Tillegg- Inndata GoF'!G13) = 0, 0,'Tillegg- Inndata GoF'!Z13+('Tillegg- Inndata GoF'!X13+'Tillegg- Inndata GoF'!Y13)*(1-Faktorer!$Z$58)*0.5)</f>
        <v>0</v>
      </c>
      <c r="AI15" s="574">
        <f>IF(('Tillegg- Inndata GoF'!G13) = 0, 0,'Tillegg- Inndata GoF'!AA13+('Tillegg- Inndata GoF'!X13+'Tillegg- Inndata GoF'!Y13)*(1-Faktorer!$Z$58)*0.5)</f>
        <v>0</v>
      </c>
      <c r="AJ15" s="656"/>
      <c r="AK15" s="90">
        <f t="shared" ref="AK15:AK78" si="1">F15</f>
        <v>0</v>
      </c>
      <c r="AL15" s="91">
        <f>'Tillegg- Res. detaljert GoF'!N15</f>
        <v>0</v>
      </c>
      <c r="AM15" s="91" t="str">
        <f>IF(F15=0,"",('Tillegg- Inndata GoF'!E15+'Tillegg- Inndata GoF'!F15)*ROUNDDOWN('Tillegg- Inndata GoF'!I15,0)*(1+'Tillegg- Inndata GoF'!K15))</f>
        <v/>
      </c>
    </row>
    <row r="16" spans="2:47" s="183" customFormat="1">
      <c r="B16" s="327">
        <f>'Tillegg- Inndata GoF'!B14</f>
        <v>0</v>
      </c>
      <c r="C16" s="328">
        <f>'Tillegg- Inndata GoF'!C14</f>
        <v>0</v>
      </c>
      <c r="D16" s="329">
        <f>'Tillegg- Inndata GoF'!D14</f>
        <v>0</v>
      </c>
      <c r="E16" s="661" cm="1">
        <f t="array" ref="E16">SUM(IFERROR(F16:AF16,0))</f>
        <v>0</v>
      </c>
      <c r="F16" s="330">
        <f>'Tillegg- Inndata GoF'!E14</f>
        <v>0</v>
      </c>
      <c r="G16" s="330">
        <f>IF('Tillegg- Inndata GoF'!AB14="Ja", -0.8*'Tillegg- Res. detaljert GoF'!$F16, 0)</f>
        <v>0</v>
      </c>
      <c r="H16" s="330">
        <f>IF('Tillegg- Inndata GoF'!AC14="Ja", -0.4*'Tillegg- Res. detaljert GoF'!$F16, 0)</f>
        <v>0</v>
      </c>
      <c r="I16" s="330">
        <f>IF('Tillegg- Inndata GoF'!AD14="Ja", -1*'Tillegg- Res. detaljert GoF'!$F16, 0)</f>
        <v>0</v>
      </c>
      <c r="J16" s="330">
        <f>'Tillegg- Inndata GoF'!O14*'Tillegg- Inndata GoF'!P14</f>
        <v>0</v>
      </c>
      <c r="K16" s="330">
        <f>MAX(-0.75*(SUM('Tillegg- Res. detaljert GoF'!F16:J16)),-'Tillegg- Inndata GoF'!O14*'Tillegg- Inndata GoF'!Q14)</f>
        <v>0</v>
      </c>
      <c r="L16" s="330">
        <f>'Tillegg- Inndata GoF'!S14*'Tillegg- Inndata GoF'!T14</f>
        <v>0</v>
      </c>
      <c r="M16" s="330">
        <f>MAX(-0.75*(SUM('Tillegg- Res. detaljert GoF'!F16:I16,L16)),-'Tillegg- Inndata GoF'!S14*'Tillegg- Inndata GoF'!U14)</f>
        <v>0</v>
      </c>
      <c r="N16" s="331">
        <f>'Tillegg- Inndata GoF'!F14</f>
        <v>0</v>
      </c>
      <c r="O16" s="330">
        <f>'Tillegg- Inndata GoF'!O14*'Tillegg- Inndata GoF'!R14</f>
        <v>0</v>
      </c>
      <c r="P16" s="332">
        <f>'Tillegg- Inndata GoF'!S14*'Tillegg- Inndata GoF'!V14</f>
        <v>0</v>
      </c>
      <c r="Q16" s="333">
        <f>SUM(F16:J16,L16)*'Tillegg- Inndata GoF'!K14</f>
        <v>0</v>
      </c>
      <c r="R16" s="333">
        <f>(K16+M16)*'Tillegg- Inndata GoF'!K14</f>
        <v>0</v>
      </c>
      <c r="S16" s="333">
        <f>SUM(N16:P16)*'Tillegg- Inndata GoF'!K14</f>
        <v>0</v>
      </c>
      <c r="T16" s="334">
        <f>('Tillegg- Inndata GoF'!G14+'Tillegg- Inndata GoF'!O14+'Tillegg- Inndata GoF'!S14)*'Tillegg- Inndata GoF'!K14*Transport_utslipp_til_avfallshånderting_per_kg</f>
        <v>0</v>
      </c>
      <c r="U16" s="330">
        <f>IF('Tillegg- Inndata GoF'!E14 = 0, 0, 1.833*'Tillegg- Inndata GoF'!X14*'Tillegg- Inndata GoF'!K14*('Tillegg- Inndata GoF'!G14*('Tillegg- Inndata GoF'!L14*0.5+'Tillegg- Inndata GoF'!M14*0.8) + (12/44)*('Tillegg- Inndata GoF'!O14*'Tillegg- Inndata GoF'!Q14+'Tillegg- Inndata GoF'!S14*'Tillegg- Inndata GoF'!U14)))</f>
        <v>0</v>
      </c>
      <c r="V16" s="335">
        <f>IF('Tillegg- Inndata GoF'!G14 = 0, 0,  MAX(-SUM(F16:J16,L16)*'Tillegg- Inndata GoF'!L14, -0.114*IF('Tillegg- Inndata GoF'!H14 &gt; 49, _xlfn.XLOOKUP(49, År_etter_ferdigstillelse, karbon_opptak_faktor), _xlfn.XLOOKUP('Tillegg- Inndata GoF'!H14, År_etter_ferdigstillelse, karbon_opptak_faktor))*'Tillegg- Inndata GoF'!G14*'Tillegg- Inndata GoF'!L14*0.5))</f>
        <v>0</v>
      </c>
      <c r="W16" s="333">
        <f>IF('Tillegg- Inndata GoF'!G14=0,0,IF('Tillegg- Inndata GoF'!H14&gt;49,-0.064*'Tillegg- Inndata GoF'!G14*'Tillegg- Inndata GoF'!N14,-0.037*'Tillegg- Inndata GoF'!J14*'Tillegg- Inndata GoF'!N14))</f>
        <v>0</v>
      </c>
      <c r="X16" s="331" cm="1">
        <f t="array" ref="X16">IF(SUM(F16:J16,L16)=0, 0, SUM(F16:J16,L16)*(1+'Tillegg-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Y16" s="330" cm="1">
        <f t="array" ref="Y16">IF(X16=0, 0, SUM(K16,M16)*(1+'Tillegg-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Z16" s="336" cm="1">
        <f t="array" ref="Z16">IF(X16=0, 0, SUM(N16:P16)*(1+'Tillegg-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AA16" s="336" cm="1">
        <f t="array" ref="AA16">IF(X16=0, 0, ('Tillegg- Inndata GoF'!G14+'Tillegg- Inndata GoF'!O14+'Tillegg- Inndata GoF'!S14)*(1+'Tillegg- Inndata GoF'!K14)*Transport_utslipp_til_avfallshånderting_per_kg*IF('Tillegg- Inndata GoF'!H14&gt;50, 0, _xlfn.XLOOKUP('Tillegg- Inndata GoF'!H14, År_etter_ferdigstillelse, IF(VALUE(LEFT('Tillegg- Inndata GoF'!B14, 2))= 49, f_tid_x_f_tek_d_0_037_kumulativ, f_tid_x_f_tek_d_0_01_kumulativ))))</f>
        <v>0</v>
      </c>
      <c r="AB16" s="334" cm="1">
        <f t="array" ref="AB16">IF(X16=0, 0,1.833*'Tillegg- Inndata GoF'!J14*('Tillegg- Inndata GoF'!X14*_xlfn.XLOOKUP(IF('Tillegg- Inndata GoF'!I14&lt;2,'Tillegg- Inndata GoF'!H14,'Tillegg- Inndata GoF'!H14*2), År_etter_ferdigstillelse, Faktorer!$Z$7:$Z$58))*('Tillegg- Inndata GoF'!L14*0.5+'Tillegg- Inndata GoF'!M14*0.8)*_xlfn.XLOOKUP(IF('Tillegg- Inndata GoF'!I14&lt;2,'Tillegg- Inndata GoF'!H14,'Tillegg- Inndata GoF'!H14*2), År_etter_ferdigstillelse,  IF(LEFT('Tillegg- Inndata GoF'!B14, 2)= 49, f_tid_x_f_tek_d_0_037, f_tid_x_f_tek_d_0_01)))</f>
        <v>0</v>
      </c>
      <c r="AC16" s="335">
        <f>IF(('Tillegg- Inndata GoF'!G14) = 0, 0,(('Tillegg- Inndata GoF'!G14)*((AG16+AI16)*Transport_utslipp_til_avfallshånderting_per_kg)+('Tillegg- Inndata GoF'!Z14*'ZERO-B Beregning'!D116)*IF('ZERO-B Beregning'!F117=0,'ZERO-B Beregning'!D117,'ZERO-B Beregning'!F117))*_xlfn.XLOOKUP(51, År_etter_ferdigstillelse, f_tid_x_f_tek_d_0_01))</f>
        <v>0</v>
      </c>
      <c r="AD16" s="337">
        <f>IF(('Tillegg- Inndata GoF'!G14) = 0, 0,1.833*('Tillegg- Inndata GoF'!G14*('Tillegg- Inndata GoF'!L14*0.5+'Tillegg- Inndata GoF'!M14*0.8)*AG16*_xlfn.XLOOKUP(51, År_etter_ferdigstillelse,  f_tid_x_f_tek_d_0_01)))</f>
        <v>0</v>
      </c>
      <c r="AE16" s="333" cm="1">
        <f t="array" ref="AE16">IF(('Tillegg- Inndata GoF'!G14) = 0, 0,-0.8*('Tillegg- Inndata GoF'!G14)*AH16*('Tillegg- Inndata GoF'!E14/'Tillegg- Inndata GoF'!G14)*_xlfn.XLOOKUP(51, År_etter_ferdigstillelse,  IF(LEFT('Tillegg- Inndata GoF'!B14, 2)= 49, f_tid_x_f_tek_d_0_037, f_tid_x_f_tek_d_0_01)))</f>
        <v>0</v>
      </c>
      <c r="AF16" s="338" cm="1">
        <f t="array" ref="AF16">IF(('Tillegg- Inndata GoF'!G14) = 0, 0,-0.1*('Tillegg- Inndata GoF'!G14)*AI16*('Tillegg- Inndata GoF'!E14/'Tillegg- Inndata GoF'!G14)*_xlfn.XLOOKUP(51, År_etter_ferdigstillelse,  IF(LEFT('Tillegg- Inndata GoF'!B14, 2)= 49, f_tid_x_f_tek_d_0_037, f_tid_x_f_tek_d_0_01)))</f>
        <v>0</v>
      </c>
      <c r="AG16" s="572">
        <f>IF(('Tillegg- Inndata GoF'!G14) = 0, 0,'Tillegg- Inndata GoF'!X14*Faktorer!$Z$58)</f>
        <v>0</v>
      </c>
      <c r="AH16" s="573">
        <f>IF(('Tillegg- Inndata GoF'!G14) = 0, 0,'Tillegg- Inndata GoF'!Z14+('Tillegg- Inndata GoF'!X14+'Tillegg- Inndata GoF'!Y14)*(1-Faktorer!$Z$58)*0.5)</f>
        <v>0</v>
      </c>
      <c r="AI16" s="574">
        <f>IF(('Tillegg- Inndata GoF'!G14) = 0, 0,'Tillegg- Inndata GoF'!AA14+('Tillegg- Inndata GoF'!X14+'Tillegg- Inndata GoF'!Y14)*(1-Faktorer!$Z$58)*0.5)</f>
        <v>0</v>
      </c>
      <c r="AJ16" s="656"/>
      <c r="AK16" s="90">
        <f t="shared" si="1"/>
        <v>0</v>
      </c>
      <c r="AL16" s="91">
        <f>'Tillegg- Res. detaljert GoF'!N16</f>
        <v>0</v>
      </c>
      <c r="AM16" s="91" t="str">
        <f>IF(F16=0,"",('Tillegg- Inndata GoF'!E16+'Tillegg- Inndata GoF'!F16)*ROUNDDOWN('Tillegg- Inndata GoF'!I16,0)*(1+'Tillegg- Inndata GoF'!K16))</f>
        <v/>
      </c>
      <c r="AQ16" s="634"/>
      <c r="AS16" s="659"/>
      <c r="AU16" s="634"/>
    </row>
    <row r="17" spans="2:41" s="183" customFormat="1">
      <c r="B17" s="327">
        <f>'Tillegg- Inndata GoF'!B15</f>
        <v>0</v>
      </c>
      <c r="C17" s="328">
        <f>'Tillegg- Inndata GoF'!C15</f>
        <v>0</v>
      </c>
      <c r="D17" s="329">
        <f>'Tillegg- Inndata GoF'!D15</f>
        <v>0</v>
      </c>
      <c r="E17" s="661" cm="1">
        <f t="array" ref="E17">SUM(IFERROR(F17:AF17,0))</f>
        <v>0</v>
      </c>
      <c r="F17" s="330">
        <f>'Tillegg- Inndata GoF'!E15</f>
        <v>0</v>
      </c>
      <c r="G17" s="330">
        <f>IF('Tillegg- Inndata GoF'!AB15="Ja", -0.8*'Tillegg- Res. detaljert GoF'!$F17, 0)</f>
        <v>0</v>
      </c>
      <c r="H17" s="330">
        <f>IF('Tillegg- Inndata GoF'!AC15="Ja", -0.4*'Tillegg- Res. detaljert GoF'!$F17, 0)</f>
        <v>0</v>
      </c>
      <c r="I17" s="330">
        <f>IF('Tillegg- Inndata GoF'!AD15="Ja", -1*'Tillegg- Res. detaljert GoF'!$F17, 0)</f>
        <v>0</v>
      </c>
      <c r="J17" s="330">
        <f>'Tillegg- Inndata GoF'!O15*'Tillegg- Inndata GoF'!P15</f>
        <v>0</v>
      </c>
      <c r="K17" s="330">
        <f>MAX(-0.75*(SUM('Tillegg- Res. detaljert GoF'!F17:J17)),-'Tillegg- Inndata GoF'!O15*'Tillegg- Inndata GoF'!Q15)</f>
        <v>0</v>
      </c>
      <c r="L17" s="330">
        <f>'Tillegg- Inndata GoF'!S15*'Tillegg- Inndata GoF'!T15</f>
        <v>0</v>
      </c>
      <c r="M17" s="330">
        <f>MAX(-0.75*(SUM('Tillegg- Res. detaljert GoF'!F17:I17,L17)),-'Tillegg- Inndata GoF'!S15*'Tillegg- Inndata GoF'!U15)</f>
        <v>0</v>
      </c>
      <c r="N17" s="331">
        <f>'Tillegg- Inndata GoF'!F15</f>
        <v>0</v>
      </c>
      <c r="O17" s="330">
        <f>'Tillegg- Inndata GoF'!O15*'Tillegg- Inndata GoF'!R15</f>
        <v>0</v>
      </c>
      <c r="P17" s="332">
        <f>'Tillegg- Inndata GoF'!S15*'Tillegg- Inndata GoF'!V15</f>
        <v>0</v>
      </c>
      <c r="Q17" s="333">
        <f>SUM(F17:J17,L17)*'Tillegg- Inndata GoF'!K15</f>
        <v>0</v>
      </c>
      <c r="R17" s="333">
        <f>(K17+M17)*'Tillegg- Inndata GoF'!K15</f>
        <v>0</v>
      </c>
      <c r="S17" s="333">
        <f>SUM(N17:P17)*'Tillegg- Inndata GoF'!K15</f>
        <v>0</v>
      </c>
      <c r="T17" s="334">
        <f>('Tillegg- Inndata GoF'!G15+'Tillegg- Inndata GoF'!O15+'Tillegg- Inndata GoF'!S15)*'Tillegg- Inndata GoF'!K15*Transport_utslipp_til_avfallshånderting_per_kg</f>
        <v>0</v>
      </c>
      <c r="U17" s="330">
        <f>IF('Tillegg- Inndata GoF'!E15 = 0, 0, 1.833*'Tillegg- Inndata GoF'!X15*'Tillegg- Inndata GoF'!K15*('Tillegg- Inndata GoF'!G15*('Tillegg- Inndata GoF'!L15*0.5+'Tillegg- Inndata GoF'!M15*0.8) + (12/44)*('Tillegg- Inndata GoF'!O15*'Tillegg- Inndata GoF'!Q15+'Tillegg- Inndata GoF'!S15*'Tillegg- Inndata GoF'!U15)))</f>
        <v>0</v>
      </c>
      <c r="V17" s="335">
        <f>IF('Tillegg- Inndata GoF'!G15 = 0, 0,  MAX(-SUM(F17:J17,L17)*'Tillegg- Inndata GoF'!L15, -0.114*IF('Tillegg- Inndata GoF'!H15 &gt; 49, _xlfn.XLOOKUP(49, År_etter_ferdigstillelse, karbon_opptak_faktor), _xlfn.XLOOKUP('Tillegg- Inndata GoF'!H15, År_etter_ferdigstillelse, karbon_opptak_faktor))*'Tillegg- Inndata GoF'!G15*'Tillegg- Inndata GoF'!L15*0.5))</f>
        <v>0</v>
      </c>
      <c r="W17" s="333">
        <f>IF('Tillegg- Inndata GoF'!G15=0,0,IF('Tillegg- Inndata GoF'!H15&gt;49,-0.064*'Tillegg- Inndata GoF'!G15*'Tillegg- Inndata GoF'!N15,-0.037*'Tillegg- Inndata GoF'!J15*'Tillegg- Inndata GoF'!N15))</f>
        <v>0</v>
      </c>
      <c r="X17" s="331" cm="1">
        <f t="array" ref="X17">IF(SUM(F17:J17,L17)=0, 0, SUM(F17:J17,L17)*(1+'Tillegg-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Y17" s="330" cm="1">
        <f t="array" ref="Y17">IF(X17=0, 0, SUM(K17,M17)*(1+'Tillegg-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Z17" s="336" cm="1">
        <f t="array" ref="Z17">IF(X17=0, 0, SUM(N17:P17)*(1+'Tillegg-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AA17" s="336" cm="1">
        <f t="array" ref="AA17">IF(X17=0, 0, ('Tillegg- Inndata GoF'!G15+'Tillegg- Inndata GoF'!O15+'Tillegg- Inndata GoF'!S15)*(1+'Tillegg- Inndata GoF'!K15)*Transport_utslipp_til_avfallshånderting_per_kg*IF('Tillegg- Inndata GoF'!H15&gt;50, 0, _xlfn.XLOOKUP('Tillegg- Inndata GoF'!H15, År_etter_ferdigstillelse, IF(VALUE(LEFT('Tillegg- Inndata GoF'!B15, 2))= 49, f_tid_x_f_tek_d_0_037_kumulativ, f_tid_x_f_tek_d_0_01_kumulativ))))</f>
        <v>0</v>
      </c>
      <c r="AB17" s="334" cm="1">
        <f t="array" ref="AB17">IF(X17=0, 0,1.833*'Tillegg- Inndata GoF'!J15*('Tillegg- Inndata GoF'!X15*_xlfn.XLOOKUP(IF('Tillegg- Inndata GoF'!I15&lt;2,'Tillegg- Inndata GoF'!H15,'Tillegg- Inndata GoF'!H15*2), År_etter_ferdigstillelse, Faktorer!$Z$7:$Z$58))*('Tillegg- Inndata GoF'!L15*0.5+'Tillegg- Inndata GoF'!M15*0.8)*_xlfn.XLOOKUP(IF('Tillegg- Inndata GoF'!I15&lt;2,'Tillegg- Inndata GoF'!H15,'Tillegg- Inndata GoF'!H15*2), År_etter_ferdigstillelse,  IF(LEFT('Tillegg- Inndata GoF'!B15, 2)= 49, f_tid_x_f_tek_d_0_037, f_tid_x_f_tek_d_0_01)))</f>
        <v>0</v>
      </c>
      <c r="AC17" s="335">
        <f>IF(('Tillegg- Inndata GoF'!G15) = 0, 0,(('Tillegg- Inndata GoF'!G15)*((AG17+AI17)*Transport_utslipp_til_avfallshånderting_per_kg)+('Tillegg- Inndata GoF'!Z15*'ZERO-B Beregning'!D117)*IF('ZERO-B Beregning'!F118=0,'ZERO-B Beregning'!D118,'ZERO-B Beregning'!F118))*_xlfn.XLOOKUP(51, År_etter_ferdigstillelse, f_tid_x_f_tek_d_0_01))</f>
        <v>0</v>
      </c>
      <c r="AD17" s="337">
        <f>IF(('Tillegg- Inndata GoF'!G15) = 0, 0,1.833*('Tillegg- Inndata GoF'!G15*('Tillegg- Inndata GoF'!L15*0.5+'Tillegg- Inndata GoF'!M15*0.8)*AG17*_xlfn.XLOOKUP(51, År_etter_ferdigstillelse,  f_tid_x_f_tek_d_0_01)))</f>
        <v>0</v>
      </c>
      <c r="AE17" s="333" cm="1">
        <f t="array" ref="AE17">IF(('Tillegg- Inndata GoF'!G15) = 0, 0,-0.8*('Tillegg- Inndata GoF'!G15)*AH17*('Tillegg- Inndata GoF'!E15/'Tillegg- Inndata GoF'!G15)*_xlfn.XLOOKUP(51, År_etter_ferdigstillelse,  IF(LEFT('Tillegg- Inndata GoF'!B15, 2)= 49, f_tid_x_f_tek_d_0_037, f_tid_x_f_tek_d_0_01)))</f>
        <v>0</v>
      </c>
      <c r="AF17" s="338" cm="1">
        <f t="array" ref="AF17">IF(('Tillegg- Inndata GoF'!G15) = 0, 0,-0.1*('Tillegg- Inndata GoF'!G15)*AI17*('Tillegg- Inndata GoF'!E15/'Tillegg- Inndata GoF'!G15)*_xlfn.XLOOKUP(51, År_etter_ferdigstillelse,  IF(LEFT('Tillegg- Inndata GoF'!B15, 2)= 49, f_tid_x_f_tek_d_0_037, f_tid_x_f_tek_d_0_01)))</f>
        <v>0</v>
      </c>
      <c r="AG17" s="572">
        <f>IF(('Tillegg- Inndata GoF'!G15) = 0, 0,'Tillegg- Inndata GoF'!X15*Faktorer!$Z$58)</f>
        <v>0</v>
      </c>
      <c r="AH17" s="573">
        <f>IF(('Tillegg- Inndata GoF'!G15) = 0, 0,'Tillegg- Inndata GoF'!Z15+('Tillegg- Inndata GoF'!X15+'Tillegg- Inndata GoF'!Y15)*(1-Faktorer!$Z$58)*0.5)</f>
        <v>0</v>
      </c>
      <c r="AI17" s="574">
        <f>IF(('Tillegg- Inndata GoF'!G15) = 0, 0,'Tillegg- Inndata GoF'!AA15+('Tillegg- Inndata GoF'!X15+'Tillegg- Inndata GoF'!Y15)*(1-Faktorer!$Z$58)*0.5)</f>
        <v>0</v>
      </c>
      <c r="AJ17" s="656"/>
      <c r="AK17" s="90">
        <f t="shared" si="1"/>
        <v>0</v>
      </c>
      <c r="AL17" s="91">
        <f>'Tillegg- Res. detaljert GoF'!N17</f>
        <v>0</v>
      </c>
      <c r="AM17" s="91" t="str">
        <f>IF(F17=0,"",('Tillegg- Inndata GoF'!E17+'Tillegg- Inndata GoF'!F17)*ROUNDDOWN('Tillegg- Inndata GoF'!I17,0)*(1+'Tillegg- Inndata GoF'!K17))</f>
        <v/>
      </c>
    </row>
    <row r="18" spans="2:41" s="183" customFormat="1">
      <c r="B18" s="327">
        <f>'Tillegg- Inndata GoF'!B16</f>
        <v>0</v>
      </c>
      <c r="C18" s="328">
        <f>'Tillegg- Inndata GoF'!C16</f>
        <v>0</v>
      </c>
      <c r="D18" s="329">
        <f>'Tillegg- Inndata GoF'!D16</f>
        <v>0</v>
      </c>
      <c r="E18" s="661" cm="1">
        <f t="array" ref="E18">SUM(IFERROR(F18:AF18,0))</f>
        <v>0</v>
      </c>
      <c r="F18" s="330">
        <f>'Tillegg- Inndata GoF'!E16</f>
        <v>0</v>
      </c>
      <c r="G18" s="330">
        <f>IF('Tillegg- Inndata GoF'!AB16="Ja", -0.8*'Tillegg- Res. detaljert GoF'!$F18, 0)</f>
        <v>0</v>
      </c>
      <c r="H18" s="330">
        <f>IF('Tillegg- Inndata GoF'!AC16="Ja", -0.4*'Tillegg- Res. detaljert GoF'!$F18, 0)</f>
        <v>0</v>
      </c>
      <c r="I18" s="330">
        <f>IF('Tillegg- Inndata GoF'!AD16="Ja", -1*'Tillegg- Res. detaljert GoF'!$F18, 0)</f>
        <v>0</v>
      </c>
      <c r="J18" s="330">
        <f>'Tillegg- Inndata GoF'!O16*'Tillegg- Inndata GoF'!P16</f>
        <v>0</v>
      </c>
      <c r="K18" s="330">
        <f>MAX(-0.75*(SUM('Tillegg- Res. detaljert GoF'!F18:J18)),-'Tillegg- Inndata GoF'!O16*'Tillegg- Inndata GoF'!Q16)</f>
        <v>0</v>
      </c>
      <c r="L18" s="330">
        <f>'Tillegg- Inndata GoF'!S16*'Tillegg- Inndata GoF'!T16</f>
        <v>0</v>
      </c>
      <c r="M18" s="330">
        <f>MAX(-0.75*(SUM('Tillegg- Res. detaljert GoF'!F18:I18,L18)),-'Tillegg- Inndata GoF'!S16*'Tillegg- Inndata GoF'!U16)</f>
        <v>0</v>
      </c>
      <c r="N18" s="331">
        <f>'Tillegg- Inndata GoF'!F16</f>
        <v>0</v>
      </c>
      <c r="O18" s="330">
        <f>'Tillegg- Inndata GoF'!O16*'Tillegg- Inndata GoF'!R16</f>
        <v>0</v>
      </c>
      <c r="P18" s="332">
        <f>'Tillegg- Inndata GoF'!S16*'Tillegg- Inndata GoF'!V16</f>
        <v>0</v>
      </c>
      <c r="Q18" s="333">
        <f>SUM(F18:J18,L18)*'Tillegg- Inndata GoF'!K16</f>
        <v>0</v>
      </c>
      <c r="R18" s="333">
        <f>(K18+M18)*'Tillegg- Inndata GoF'!K16</f>
        <v>0</v>
      </c>
      <c r="S18" s="333">
        <f>SUM(N18:P18)*'Tillegg- Inndata GoF'!K16</f>
        <v>0</v>
      </c>
      <c r="T18" s="334">
        <f>('Tillegg- Inndata GoF'!G16+'Tillegg- Inndata GoF'!O16+'Tillegg- Inndata GoF'!S16)*'Tillegg- Inndata GoF'!K16*Transport_utslipp_til_avfallshånderting_per_kg</f>
        <v>0</v>
      </c>
      <c r="U18" s="330">
        <f>IF('Tillegg- Inndata GoF'!E16 = 0, 0, 1.833*'Tillegg- Inndata GoF'!X16*'Tillegg- Inndata GoF'!K16*('Tillegg- Inndata GoF'!G16*('Tillegg- Inndata GoF'!L16*0.5+'Tillegg- Inndata GoF'!M16*0.8) + (12/44)*('Tillegg- Inndata GoF'!O16*'Tillegg- Inndata GoF'!Q16+'Tillegg- Inndata GoF'!S16*'Tillegg- Inndata GoF'!U16)))</f>
        <v>0</v>
      </c>
      <c r="V18" s="335">
        <f>IF('Tillegg- Inndata GoF'!G16 = 0, 0,  MAX(-SUM(F18:J18,L18)*'Tillegg- Inndata GoF'!L16, -0.114*IF('Tillegg- Inndata GoF'!H16 &gt; 49, _xlfn.XLOOKUP(49, År_etter_ferdigstillelse, karbon_opptak_faktor), _xlfn.XLOOKUP('Tillegg- Inndata GoF'!H16, År_etter_ferdigstillelse, karbon_opptak_faktor))*'Tillegg- Inndata GoF'!G16*'Tillegg- Inndata GoF'!L16*0.5))</f>
        <v>0</v>
      </c>
      <c r="W18" s="333">
        <f>IF('Tillegg- Inndata GoF'!G16=0,0,IF('Tillegg- Inndata GoF'!H16&gt;49,-0.064*'Tillegg- Inndata GoF'!G16*'Tillegg- Inndata GoF'!N16,-0.037*'Tillegg- Inndata GoF'!J16*'Tillegg- Inndata GoF'!N16))</f>
        <v>0</v>
      </c>
      <c r="X18" s="331" cm="1">
        <f t="array" ref="X18">IF(SUM(F18:J18,L18)=0, 0, SUM(F18:J18,L18)*(1+'Tillegg-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Y18" s="330" cm="1">
        <f t="array" ref="Y18">IF(X18=0, 0, SUM(K18,M18)*(1+'Tillegg-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Z18" s="336" cm="1">
        <f t="array" ref="Z18">IF(X18=0, 0, SUM(N18:P18)*(1+'Tillegg-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AA18" s="336" cm="1">
        <f t="array" ref="AA18">IF(X18=0, 0, ('Tillegg- Inndata GoF'!G16+'Tillegg- Inndata GoF'!O16+'Tillegg- Inndata GoF'!S16)*(1+'Tillegg- Inndata GoF'!K16)*Transport_utslipp_til_avfallshånderting_per_kg*IF('Tillegg- Inndata GoF'!H16&gt;50, 0, _xlfn.XLOOKUP('Tillegg- Inndata GoF'!H16, År_etter_ferdigstillelse, IF(VALUE(LEFT('Tillegg- Inndata GoF'!B16, 2))= 49, f_tid_x_f_tek_d_0_037_kumulativ, f_tid_x_f_tek_d_0_01_kumulativ))))</f>
        <v>0</v>
      </c>
      <c r="AB18" s="334" cm="1">
        <f t="array" ref="AB18">IF(X18=0, 0,1.833*'Tillegg- Inndata GoF'!J16*('Tillegg- Inndata GoF'!X16*_xlfn.XLOOKUP(IF('Tillegg- Inndata GoF'!I16&lt;2,'Tillegg- Inndata GoF'!H16,'Tillegg- Inndata GoF'!H16*2), År_etter_ferdigstillelse, Faktorer!$Z$7:$Z$58))*('Tillegg- Inndata GoF'!L16*0.5+'Tillegg- Inndata GoF'!M16*0.8)*_xlfn.XLOOKUP(IF('Tillegg- Inndata GoF'!I16&lt;2,'Tillegg- Inndata GoF'!H16,'Tillegg- Inndata GoF'!H16*2), År_etter_ferdigstillelse,  IF(LEFT('Tillegg- Inndata GoF'!B16, 2)= 49, f_tid_x_f_tek_d_0_037, f_tid_x_f_tek_d_0_01)))</f>
        <v>0</v>
      </c>
      <c r="AC18" s="335">
        <f>IF(('Tillegg- Inndata GoF'!G16) = 0, 0,(('Tillegg- Inndata GoF'!G16)*((AG18+AI18)*Transport_utslipp_til_avfallshånderting_per_kg)+('Tillegg- Inndata GoF'!Z16*'ZERO-B Beregning'!D118)*IF('ZERO-B Beregning'!F119=0,'ZERO-B Beregning'!D119,'ZERO-B Beregning'!F119))*_xlfn.XLOOKUP(51, År_etter_ferdigstillelse, f_tid_x_f_tek_d_0_01))</f>
        <v>0</v>
      </c>
      <c r="AD18" s="337">
        <f>IF(('Tillegg- Inndata GoF'!G16) = 0, 0,1.833*('Tillegg- Inndata GoF'!G16*('Tillegg- Inndata GoF'!L16*0.5+'Tillegg- Inndata GoF'!M16*0.8)*AG18*_xlfn.XLOOKUP(51, År_etter_ferdigstillelse,  f_tid_x_f_tek_d_0_01)))</f>
        <v>0</v>
      </c>
      <c r="AE18" s="333" cm="1">
        <f t="array" ref="AE18">IF(('Tillegg- Inndata GoF'!G16) = 0, 0,-0.8*('Tillegg- Inndata GoF'!G16)*AH18*('Tillegg- Inndata GoF'!E16/'Tillegg- Inndata GoF'!G16)*_xlfn.XLOOKUP(51, År_etter_ferdigstillelse,  IF(LEFT('Tillegg- Inndata GoF'!B16, 2)= 49, f_tid_x_f_tek_d_0_037, f_tid_x_f_tek_d_0_01)))</f>
        <v>0</v>
      </c>
      <c r="AF18" s="338" cm="1">
        <f t="array" ref="AF18">IF(('Tillegg- Inndata GoF'!G16) = 0, 0,-0.1*('Tillegg- Inndata GoF'!G16)*AI18*('Tillegg- Inndata GoF'!E16/'Tillegg- Inndata GoF'!G16)*_xlfn.XLOOKUP(51, År_etter_ferdigstillelse,  IF(LEFT('Tillegg- Inndata GoF'!B16, 2)= 49, f_tid_x_f_tek_d_0_037, f_tid_x_f_tek_d_0_01)))</f>
        <v>0</v>
      </c>
      <c r="AG18" s="572">
        <f>IF(('Tillegg- Inndata GoF'!G16) = 0, 0,'Tillegg- Inndata GoF'!X16*Faktorer!$Z$58)</f>
        <v>0</v>
      </c>
      <c r="AH18" s="573">
        <f>IF(('Tillegg- Inndata GoF'!G16) = 0, 0,'Tillegg- Inndata GoF'!Z16+('Tillegg- Inndata GoF'!X16+'Tillegg- Inndata GoF'!Y16)*(1-Faktorer!$Z$58)*0.5)</f>
        <v>0</v>
      </c>
      <c r="AI18" s="574">
        <f>IF(('Tillegg- Inndata GoF'!G16) = 0, 0,'Tillegg- Inndata GoF'!AA16+('Tillegg- Inndata GoF'!X16+'Tillegg- Inndata GoF'!Y16)*(1-Faktorer!$Z$58)*0.5)</f>
        <v>0</v>
      </c>
      <c r="AJ18" s="656"/>
      <c r="AK18" s="90">
        <f t="shared" si="1"/>
        <v>0</v>
      </c>
      <c r="AL18" s="91">
        <f>'Tillegg- Res. detaljert GoF'!N18</f>
        <v>0</v>
      </c>
      <c r="AM18" s="91" t="str">
        <f>IF(F18=0,"",('Tillegg- Inndata GoF'!E18+'Tillegg- Inndata GoF'!F18)*ROUNDDOWN('Tillegg- Inndata GoF'!I18,0)*(1+'Tillegg- Inndata GoF'!K18))</f>
        <v/>
      </c>
    </row>
    <row r="19" spans="2:41" s="183" customFormat="1">
      <c r="B19" s="327">
        <f>'Tillegg- Inndata GoF'!B17</f>
        <v>0</v>
      </c>
      <c r="C19" s="328">
        <f>'Tillegg- Inndata GoF'!C17</f>
        <v>0</v>
      </c>
      <c r="D19" s="329">
        <f>'Tillegg- Inndata GoF'!D17</f>
        <v>0</v>
      </c>
      <c r="E19" s="661" cm="1">
        <f t="array" ref="E19">SUM(IFERROR(F19:AF19,0))</f>
        <v>0</v>
      </c>
      <c r="F19" s="330">
        <f>'Tillegg- Inndata GoF'!E17</f>
        <v>0</v>
      </c>
      <c r="G19" s="330">
        <f>IF('Tillegg- Inndata GoF'!AB17="Ja", -0.8*'Tillegg- Res. detaljert GoF'!$F19, 0)</f>
        <v>0</v>
      </c>
      <c r="H19" s="330">
        <f>IF('Tillegg- Inndata GoF'!AC17="Ja", -0.4*'Tillegg- Res. detaljert GoF'!$F19, 0)</f>
        <v>0</v>
      </c>
      <c r="I19" s="330">
        <f>IF('Tillegg- Inndata GoF'!AD17="Ja", -1*'Tillegg- Res. detaljert GoF'!$F19, 0)</f>
        <v>0</v>
      </c>
      <c r="J19" s="330">
        <f>'Tillegg- Inndata GoF'!O17*'Tillegg- Inndata GoF'!P17</f>
        <v>0</v>
      </c>
      <c r="K19" s="330">
        <f>MAX(-0.75*(SUM('Tillegg- Res. detaljert GoF'!F19:J19)),-'Tillegg- Inndata GoF'!O17*'Tillegg- Inndata GoF'!Q17)</f>
        <v>0</v>
      </c>
      <c r="L19" s="330">
        <f>'Tillegg- Inndata GoF'!S17*'Tillegg- Inndata GoF'!T17</f>
        <v>0</v>
      </c>
      <c r="M19" s="330">
        <f>MAX(-0.75*(SUM('Tillegg- Res. detaljert GoF'!F19:I19,L19)),-'Tillegg- Inndata GoF'!S17*'Tillegg- Inndata GoF'!U17)</f>
        <v>0</v>
      </c>
      <c r="N19" s="331">
        <f>'Tillegg- Inndata GoF'!F17</f>
        <v>0</v>
      </c>
      <c r="O19" s="330">
        <f>'Tillegg- Inndata GoF'!O17*'Tillegg- Inndata GoF'!R17</f>
        <v>0</v>
      </c>
      <c r="P19" s="332">
        <f>'Tillegg- Inndata GoF'!S17*'Tillegg- Inndata GoF'!V17</f>
        <v>0</v>
      </c>
      <c r="Q19" s="333">
        <f>SUM(F19:J19,L19)*'Tillegg- Inndata GoF'!K17</f>
        <v>0</v>
      </c>
      <c r="R19" s="333">
        <f>(K19+M19)*'Tillegg- Inndata GoF'!K17</f>
        <v>0</v>
      </c>
      <c r="S19" s="333">
        <f>SUM(N19:P19)*'Tillegg- Inndata GoF'!K17</f>
        <v>0</v>
      </c>
      <c r="T19" s="334">
        <f>('Tillegg- Inndata GoF'!G17+'Tillegg- Inndata GoF'!O17+'Tillegg- Inndata GoF'!S17)*'Tillegg- Inndata GoF'!K17*Transport_utslipp_til_avfallshånderting_per_kg</f>
        <v>0</v>
      </c>
      <c r="U19" s="330">
        <f>IF('Tillegg- Inndata GoF'!E17 = 0, 0, 1.833*'Tillegg- Inndata GoF'!X17*'Tillegg- Inndata GoF'!K17*('Tillegg- Inndata GoF'!G17*('Tillegg- Inndata GoF'!L17*0.5+'Tillegg- Inndata GoF'!M17*0.8) + (12/44)*('Tillegg- Inndata GoF'!O17*'Tillegg- Inndata GoF'!Q17+'Tillegg- Inndata GoF'!S17*'Tillegg- Inndata GoF'!U17)))</f>
        <v>0</v>
      </c>
      <c r="V19" s="335">
        <f>IF('Tillegg- Inndata GoF'!G17 = 0, 0,  MAX(-SUM(F19:J19,L19)*'Tillegg- Inndata GoF'!L17, -0.114*IF('Tillegg- Inndata GoF'!H17 &gt; 49, _xlfn.XLOOKUP(49, År_etter_ferdigstillelse, karbon_opptak_faktor), _xlfn.XLOOKUP('Tillegg- Inndata GoF'!H17, År_etter_ferdigstillelse, karbon_opptak_faktor))*'Tillegg- Inndata GoF'!G17*'Tillegg- Inndata GoF'!L17*0.5))</f>
        <v>0</v>
      </c>
      <c r="W19" s="333">
        <f>IF('Tillegg- Inndata GoF'!G17=0,0,IF('Tillegg- Inndata GoF'!H17&gt;49,-0.064*'Tillegg- Inndata GoF'!G17*'Tillegg- Inndata GoF'!N17,-0.037*'Tillegg- Inndata GoF'!J17*'Tillegg- Inndata GoF'!N17))</f>
        <v>0</v>
      </c>
      <c r="X19" s="331" cm="1">
        <f t="array" ref="X19">IF(SUM(F19:J19,L19)=0, 0, SUM(F19:J19,L19)*(1+'Tillegg-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Y19" s="330" cm="1">
        <f t="array" ref="Y19">IF(X19=0, 0, SUM(K19,M19)*(1+'Tillegg-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Z19" s="336" cm="1">
        <f t="array" ref="Z19">IF(X19=0, 0, SUM(N19:P19)*(1+'Tillegg-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AA19" s="336" cm="1">
        <f t="array" ref="AA19">IF(X19=0, 0, ('Tillegg- Inndata GoF'!G17+'Tillegg- Inndata GoF'!O17+'Tillegg- Inndata GoF'!S17)*(1+'Tillegg- Inndata GoF'!K17)*Transport_utslipp_til_avfallshånderting_per_kg*IF('Tillegg- Inndata GoF'!H17&gt;50, 0, _xlfn.XLOOKUP('Tillegg- Inndata GoF'!H17, År_etter_ferdigstillelse, IF(VALUE(LEFT('Tillegg- Inndata GoF'!B17, 2))= 49, f_tid_x_f_tek_d_0_037_kumulativ, f_tid_x_f_tek_d_0_01_kumulativ))))</f>
        <v>0</v>
      </c>
      <c r="AB19" s="334" cm="1">
        <f t="array" ref="AB19">IF(X19=0, 0,1.833*'Tillegg- Inndata GoF'!J17*('Tillegg- Inndata GoF'!X17*_xlfn.XLOOKUP(IF('Tillegg- Inndata GoF'!I17&lt;2,'Tillegg- Inndata GoF'!H17,'Tillegg- Inndata GoF'!H17*2), År_etter_ferdigstillelse, Faktorer!$Z$7:$Z$58))*('Tillegg- Inndata GoF'!L17*0.5+'Tillegg- Inndata GoF'!M17*0.8)*_xlfn.XLOOKUP(IF('Tillegg- Inndata GoF'!I17&lt;2,'Tillegg- Inndata GoF'!H17,'Tillegg- Inndata GoF'!H17*2), År_etter_ferdigstillelse,  IF(LEFT('Tillegg- Inndata GoF'!B17, 2)= 49, f_tid_x_f_tek_d_0_037, f_tid_x_f_tek_d_0_01)))</f>
        <v>0</v>
      </c>
      <c r="AC19" s="335">
        <f>IF(('Tillegg- Inndata GoF'!G17) = 0, 0,(('Tillegg- Inndata GoF'!G17)*((AG19+AI19)*Transport_utslipp_til_avfallshånderting_per_kg)+('Tillegg- Inndata GoF'!Z17*'ZERO-B Beregning'!D119)*IF('ZERO-B Beregning'!F120=0,'ZERO-B Beregning'!D120,'ZERO-B Beregning'!F120))*_xlfn.XLOOKUP(51, År_etter_ferdigstillelse, f_tid_x_f_tek_d_0_01))</f>
        <v>0</v>
      </c>
      <c r="AD19" s="337">
        <f>IF(('Tillegg- Inndata GoF'!G17) = 0, 0,1.833*('Tillegg- Inndata GoF'!G17*('Tillegg- Inndata GoF'!L17*0.5+'Tillegg- Inndata GoF'!M17*0.8)*AG19*_xlfn.XLOOKUP(51, År_etter_ferdigstillelse,  f_tid_x_f_tek_d_0_01)))</f>
        <v>0</v>
      </c>
      <c r="AE19" s="333" cm="1">
        <f t="array" ref="AE19">IF(('Tillegg- Inndata GoF'!G17) = 0, 0,-0.8*('Tillegg- Inndata GoF'!G17)*AH19*('Tillegg- Inndata GoF'!E17/'Tillegg- Inndata GoF'!G17)*_xlfn.XLOOKUP(51, År_etter_ferdigstillelse,  IF(LEFT('Tillegg- Inndata GoF'!B17, 2)= 49, f_tid_x_f_tek_d_0_037, f_tid_x_f_tek_d_0_01)))</f>
        <v>0</v>
      </c>
      <c r="AF19" s="338" cm="1">
        <f t="array" ref="AF19">IF(('Tillegg- Inndata GoF'!G17) = 0, 0,-0.1*('Tillegg- Inndata GoF'!G17)*AI19*('Tillegg- Inndata GoF'!E17/'Tillegg- Inndata GoF'!G17)*_xlfn.XLOOKUP(51, År_etter_ferdigstillelse,  IF(LEFT('Tillegg- Inndata GoF'!B17, 2)= 49, f_tid_x_f_tek_d_0_037, f_tid_x_f_tek_d_0_01)))</f>
        <v>0</v>
      </c>
      <c r="AG19" s="572">
        <f>IF(('Tillegg- Inndata GoF'!G17) = 0, 0,'Tillegg- Inndata GoF'!X17*Faktorer!$Z$58)</f>
        <v>0</v>
      </c>
      <c r="AH19" s="573">
        <f>IF(('Tillegg- Inndata GoF'!G17) = 0, 0,'Tillegg- Inndata GoF'!Z17+('Tillegg- Inndata GoF'!X17+'Tillegg- Inndata GoF'!Y17)*(1-Faktorer!$Z$58)*0.5)</f>
        <v>0</v>
      </c>
      <c r="AI19" s="574">
        <f>IF(('Tillegg- Inndata GoF'!G17) = 0, 0,'Tillegg- Inndata GoF'!AA17+('Tillegg- Inndata GoF'!X17+'Tillegg- Inndata GoF'!Y17)*(1-Faktorer!$Z$58)*0.5)</f>
        <v>0</v>
      </c>
      <c r="AJ19" s="656"/>
      <c r="AK19" s="90">
        <f t="shared" si="1"/>
        <v>0</v>
      </c>
      <c r="AL19" s="91">
        <f>'Tillegg- Res. detaljert GoF'!N19</f>
        <v>0</v>
      </c>
      <c r="AM19" s="91" t="str">
        <f>IF(F19=0,"",('Tillegg- Inndata GoF'!E19+'Tillegg- Inndata GoF'!F19)*ROUNDDOWN('Tillegg- Inndata GoF'!I19,0)*(1+'Tillegg- Inndata GoF'!K19))</f>
        <v/>
      </c>
    </row>
    <row r="20" spans="2:41">
      <c r="B20" s="327">
        <f>'Tillegg- Inndata GoF'!B18</f>
        <v>0</v>
      </c>
      <c r="C20" s="328">
        <f>'Tillegg- Inndata GoF'!C18</f>
        <v>0</v>
      </c>
      <c r="D20" s="329">
        <f>'Tillegg- Inndata GoF'!D18</f>
        <v>0</v>
      </c>
      <c r="E20" s="661" cm="1">
        <f t="array" ref="E20">SUM(IFERROR(F20:AF20,0))</f>
        <v>0</v>
      </c>
      <c r="F20" s="330">
        <f>'Tillegg- Inndata GoF'!E18</f>
        <v>0</v>
      </c>
      <c r="G20" s="330">
        <f>IF('Tillegg- Inndata GoF'!AB18="Ja", -0.8*'Tillegg- Res. detaljert GoF'!$F20, 0)</f>
        <v>0</v>
      </c>
      <c r="H20" s="330">
        <f>IF('Tillegg- Inndata GoF'!AC18="Ja", -0.4*'Tillegg- Res. detaljert GoF'!$F20, 0)</f>
        <v>0</v>
      </c>
      <c r="I20" s="330">
        <f>IF('Tillegg- Inndata GoF'!AD18="Ja", -1*'Tillegg- Res. detaljert GoF'!$F20, 0)</f>
        <v>0</v>
      </c>
      <c r="J20" s="330">
        <f>'Tillegg- Inndata GoF'!O18*'Tillegg- Inndata GoF'!P18</f>
        <v>0</v>
      </c>
      <c r="K20" s="330">
        <f>MAX(-0.75*(SUM('Tillegg- Res. detaljert GoF'!F20:J20)),-'Tillegg- Inndata GoF'!O18*'Tillegg- Inndata GoF'!Q18)</f>
        <v>0</v>
      </c>
      <c r="L20" s="330">
        <f>'Tillegg- Inndata GoF'!S18*'Tillegg- Inndata GoF'!T18</f>
        <v>0</v>
      </c>
      <c r="M20" s="330">
        <f>MAX(-0.75*(SUM('Tillegg- Res. detaljert GoF'!F20:I20,L20)),-'Tillegg- Inndata GoF'!S18*'Tillegg- Inndata GoF'!U18)</f>
        <v>0</v>
      </c>
      <c r="N20" s="331">
        <f>'Tillegg- Inndata GoF'!F18</f>
        <v>0</v>
      </c>
      <c r="O20" s="330">
        <f>'Tillegg- Inndata GoF'!O18*'Tillegg- Inndata GoF'!R18</f>
        <v>0</v>
      </c>
      <c r="P20" s="332">
        <f>'Tillegg- Inndata GoF'!S18*'Tillegg- Inndata GoF'!V18</f>
        <v>0</v>
      </c>
      <c r="Q20" s="333">
        <f>SUM(F20:J20,L20)*'Tillegg- Inndata GoF'!K18</f>
        <v>0</v>
      </c>
      <c r="R20" s="333">
        <f>(K20+M20)*'Tillegg- Inndata GoF'!K18</f>
        <v>0</v>
      </c>
      <c r="S20" s="333">
        <f>SUM(N20:P20)*'Tillegg- Inndata GoF'!K18</f>
        <v>0</v>
      </c>
      <c r="T20" s="334">
        <f>('Tillegg- Inndata GoF'!G18+'Tillegg- Inndata GoF'!O18+'Tillegg- Inndata GoF'!S18)*'Tillegg- Inndata GoF'!K18*Transport_utslipp_til_avfallshånderting_per_kg</f>
        <v>0</v>
      </c>
      <c r="U20" s="330">
        <f>IF('Tillegg- Inndata GoF'!E18 = 0, 0, 1.833*'Tillegg- Inndata GoF'!X18*'Tillegg- Inndata GoF'!K18*('Tillegg- Inndata GoF'!G18*('Tillegg- Inndata GoF'!L18*0.5+'Tillegg- Inndata GoF'!M18*0.8) + (12/44)*('Tillegg- Inndata GoF'!O18*'Tillegg- Inndata GoF'!Q18+'Tillegg- Inndata GoF'!S18*'Tillegg- Inndata GoF'!U18)))</f>
        <v>0</v>
      </c>
      <c r="V20" s="335">
        <f>IF('Tillegg- Inndata GoF'!G18 = 0, 0,  MAX(-SUM(F20:J20,L20)*'Tillegg- Inndata GoF'!L18, -0.114*IF('Tillegg- Inndata GoF'!H18 &gt; 49, _xlfn.XLOOKUP(49, År_etter_ferdigstillelse, karbon_opptak_faktor), _xlfn.XLOOKUP('Tillegg- Inndata GoF'!H18, År_etter_ferdigstillelse, karbon_opptak_faktor))*'Tillegg- Inndata GoF'!G18*'Tillegg- Inndata GoF'!L18*0.5))</f>
        <v>0</v>
      </c>
      <c r="W20" s="333">
        <f>IF('Tillegg- Inndata GoF'!G18=0,0,IF('Tillegg- Inndata GoF'!H18&gt;49,-0.064*'Tillegg- Inndata GoF'!G18*'Tillegg- Inndata GoF'!N18,-0.037*'Tillegg- Inndata GoF'!J18*'Tillegg- Inndata GoF'!N18))</f>
        <v>0</v>
      </c>
      <c r="X20" s="331" cm="1">
        <f t="array" ref="X20">IF(SUM(F20:J20,L20)=0, 0, SUM(F20:J20,L20)*(1+'Tillegg-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Y20" s="330" cm="1">
        <f t="array" ref="Y20">IF(X20=0, 0, SUM(K20,M20)*(1+'Tillegg-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Z20" s="336" cm="1">
        <f t="array" ref="Z20">IF(X20=0, 0, SUM(N20:P20)*(1+'Tillegg-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AA20" s="336" cm="1">
        <f t="array" ref="AA20">IF(X20=0, 0, ('Tillegg- Inndata GoF'!G18+'Tillegg- Inndata GoF'!O18+'Tillegg- Inndata GoF'!S18)*(1+'Tillegg- Inndata GoF'!K18)*Transport_utslipp_til_avfallshånderting_per_kg*IF('Tillegg- Inndata GoF'!H18&gt;50, 0, _xlfn.XLOOKUP('Tillegg- Inndata GoF'!H18, År_etter_ferdigstillelse, IF(VALUE(LEFT('Tillegg- Inndata GoF'!B18, 2))= 49, f_tid_x_f_tek_d_0_037_kumulativ, f_tid_x_f_tek_d_0_01_kumulativ))))</f>
        <v>0</v>
      </c>
      <c r="AB20" s="334" cm="1">
        <f t="array" ref="AB20">IF(X20=0, 0,1.833*'Tillegg- Inndata GoF'!J18*('Tillegg- Inndata GoF'!X18*_xlfn.XLOOKUP(IF('Tillegg- Inndata GoF'!I18&lt;2,'Tillegg- Inndata GoF'!H18,'Tillegg- Inndata GoF'!H18*2), År_etter_ferdigstillelse, Faktorer!$Z$7:$Z$58))*('Tillegg- Inndata GoF'!L18*0.5+'Tillegg- Inndata GoF'!M18*0.8)*_xlfn.XLOOKUP(IF('Tillegg- Inndata GoF'!I18&lt;2,'Tillegg- Inndata GoF'!H18,'Tillegg- Inndata GoF'!H18*2), År_etter_ferdigstillelse,  IF(LEFT('Tillegg- Inndata GoF'!B18, 2)= 49, f_tid_x_f_tek_d_0_037, f_tid_x_f_tek_d_0_01)))</f>
        <v>0</v>
      </c>
      <c r="AC20" s="335">
        <f>IF(('Tillegg- Inndata GoF'!G18) = 0, 0,(('Tillegg- Inndata GoF'!G18)*((AG20+AI20)*Transport_utslipp_til_avfallshånderting_per_kg)+('Tillegg- Inndata GoF'!Z18*'ZERO-B Beregning'!D120)*IF('ZERO-B Beregning'!F121=0,'ZERO-B Beregning'!D121,'ZERO-B Beregning'!F121))*_xlfn.XLOOKUP(51, År_etter_ferdigstillelse, f_tid_x_f_tek_d_0_01))</f>
        <v>0</v>
      </c>
      <c r="AD20" s="337">
        <f>IF(('Tillegg- Inndata GoF'!G18) = 0, 0,1.833*('Tillegg- Inndata GoF'!G18*('Tillegg- Inndata GoF'!L18*0.5+'Tillegg- Inndata GoF'!M18*0.8)*AG20*_xlfn.XLOOKUP(51, År_etter_ferdigstillelse,  f_tid_x_f_tek_d_0_01)))</f>
        <v>0</v>
      </c>
      <c r="AE20" s="333" cm="1">
        <f t="array" ref="AE20">IF(('Tillegg- Inndata GoF'!G18) = 0, 0,-0.8*('Tillegg- Inndata GoF'!G18)*AH20*('Tillegg- Inndata GoF'!E18/'Tillegg- Inndata GoF'!G18)*_xlfn.XLOOKUP(51, År_etter_ferdigstillelse,  IF(LEFT('Tillegg- Inndata GoF'!B18, 2)= 49, f_tid_x_f_tek_d_0_037, f_tid_x_f_tek_d_0_01)))</f>
        <v>0</v>
      </c>
      <c r="AF20" s="338" cm="1">
        <f t="array" ref="AF20">IF(('Tillegg- Inndata GoF'!G18) = 0, 0,-0.1*('Tillegg- Inndata GoF'!G18)*AI20*('Tillegg- Inndata GoF'!E18/'Tillegg- Inndata GoF'!G18)*_xlfn.XLOOKUP(51, År_etter_ferdigstillelse,  IF(LEFT('Tillegg- Inndata GoF'!B18, 2)= 49, f_tid_x_f_tek_d_0_037, f_tid_x_f_tek_d_0_01)))</f>
        <v>0</v>
      </c>
      <c r="AG20" s="572">
        <f>IF(('Tillegg- Inndata GoF'!G18) = 0, 0,'Tillegg- Inndata GoF'!X18*Faktorer!$Z$58)</f>
        <v>0</v>
      </c>
      <c r="AH20" s="573">
        <f>IF(('Tillegg- Inndata GoF'!G18) = 0, 0,'Tillegg- Inndata GoF'!Z18+('Tillegg- Inndata GoF'!X18+'Tillegg- Inndata GoF'!Y18)*(1-Faktorer!$Z$58)*0.5)</f>
        <v>0</v>
      </c>
      <c r="AI20" s="574">
        <f>IF(('Tillegg- Inndata GoF'!G18) = 0, 0,'Tillegg- Inndata GoF'!AA18+('Tillegg- Inndata GoF'!X18+'Tillegg- Inndata GoF'!Y18)*(1-Faktorer!$Z$58)*0.5)</f>
        <v>0</v>
      </c>
      <c r="AJ20" s="656"/>
      <c r="AK20" s="90">
        <f t="shared" si="1"/>
        <v>0</v>
      </c>
      <c r="AL20" s="91">
        <f>'Tillegg- Res. detaljert GoF'!N20</f>
        <v>0</v>
      </c>
      <c r="AM20" s="91" t="str">
        <f>IF(F20=0,"",('Tillegg- Inndata GoF'!E20+'Tillegg- Inndata GoF'!F20)*ROUNDDOWN('Tillegg- Inndata GoF'!I20,0)*(1+'Tillegg- Inndata GoF'!K20))</f>
        <v/>
      </c>
      <c r="AO20" s="210"/>
    </row>
    <row r="21" spans="2:41">
      <c r="B21" s="327">
        <f>'Tillegg- Inndata GoF'!B19</f>
        <v>0</v>
      </c>
      <c r="C21" s="328">
        <f>'Tillegg- Inndata GoF'!C19</f>
        <v>0</v>
      </c>
      <c r="D21" s="329">
        <f>'Tillegg- Inndata GoF'!D19</f>
        <v>0</v>
      </c>
      <c r="E21" s="661" cm="1">
        <f t="array" ref="E21">SUM(IFERROR(F21:AF21,0))</f>
        <v>0</v>
      </c>
      <c r="F21" s="330">
        <f>'Tillegg- Inndata GoF'!E19</f>
        <v>0</v>
      </c>
      <c r="G21" s="330">
        <f>IF('Tillegg- Inndata GoF'!AB19="Ja", -0.8*'Tillegg- Res. detaljert GoF'!$F21, 0)</f>
        <v>0</v>
      </c>
      <c r="H21" s="330">
        <f>IF('Tillegg- Inndata GoF'!AC19="Ja", -0.4*'Tillegg- Res. detaljert GoF'!$F21, 0)</f>
        <v>0</v>
      </c>
      <c r="I21" s="330">
        <f>IF('Tillegg- Inndata GoF'!AD19="Ja", -1*'Tillegg- Res. detaljert GoF'!$F21, 0)</f>
        <v>0</v>
      </c>
      <c r="J21" s="330">
        <f>'Tillegg- Inndata GoF'!O19*'Tillegg- Inndata GoF'!P19</f>
        <v>0</v>
      </c>
      <c r="K21" s="330">
        <f>MAX(-0.75*(SUM('Tillegg- Res. detaljert GoF'!F21:J21)),-'Tillegg- Inndata GoF'!O19*'Tillegg- Inndata GoF'!Q19)</f>
        <v>0</v>
      </c>
      <c r="L21" s="330">
        <f>'Tillegg- Inndata GoF'!S19*'Tillegg- Inndata GoF'!T19</f>
        <v>0</v>
      </c>
      <c r="M21" s="330">
        <f>MAX(-0.75*(SUM('Tillegg- Res. detaljert GoF'!F21:I21,L21)),-'Tillegg- Inndata GoF'!S19*'Tillegg- Inndata GoF'!U19)</f>
        <v>0</v>
      </c>
      <c r="N21" s="331">
        <f>'Tillegg- Inndata GoF'!F19</f>
        <v>0</v>
      </c>
      <c r="O21" s="330">
        <f>'Tillegg- Inndata GoF'!O19*'Tillegg- Inndata GoF'!R19</f>
        <v>0</v>
      </c>
      <c r="P21" s="332">
        <f>'Tillegg- Inndata GoF'!S19*'Tillegg- Inndata GoF'!V19</f>
        <v>0</v>
      </c>
      <c r="Q21" s="333">
        <f>SUM(F21:J21,L21)*'Tillegg- Inndata GoF'!K19</f>
        <v>0</v>
      </c>
      <c r="R21" s="333">
        <f>(K21+M21)*'Tillegg- Inndata GoF'!K19</f>
        <v>0</v>
      </c>
      <c r="S21" s="333">
        <f>SUM(N21:P21)*'Tillegg- Inndata GoF'!K19</f>
        <v>0</v>
      </c>
      <c r="T21" s="334">
        <f>('Tillegg- Inndata GoF'!G19+'Tillegg- Inndata GoF'!O19+'Tillegg- Inndata GoF'!S19)*'Tillegg- Inndata GoF'!K19*Transport_utslipp_til_avfallshånderting_per_kg</f>
        <v>0</v>
      </c>
      <c r="U21" s="330">
        <f>IF('Tillegg- Inndata GoF'!E19 = 0, 0, 1.833*'Tillegg- Inndata GoF'!X19*'Tillegg- Inndata GoF'!K19*('Tillegg- Inndata GoF'!G19*('Tillegg- Inndata GoF'!L19*0.5+'Tillegg- Inndata GoF'!M19*0.8) + (12/44)*('Tillegg- Inndata GoF'!O19*'Tillegg- Inndata GoF'!Q19+'Tillegg- Inndata GoF'!S19*'Tillegg- Inndata GoF'!U19)))</f>
        <v>0</v>
      </c>
      <c r="V21" s="335">
        <f>IF('Tillegg- Inndata GoF'!G19 = 0, 0,  MAX(-SUM(F21:J21,L21)*'Tillegg- Inndata GoF'!L19, -0.114*IF('Tillegg- Inndata GoF'!H19 &gt; 49, _xlfn.XLOOKUP(49, År_etter_ferdigstillelse, karbon_opptak_faktor), _xlfn.XLOOKUP('Tillegg- Inndata GoF'!H19, År_etter_ferdigstillelse, karbon_opptak_faktor))*'Tillegg- Inndata GoF'!G19*'Tillegg- Inndata GoF'!L19*0.5))</f>
        <v>0</v>
      </c>
      <c r="W21" s="333">
        <f>IF('Tillegg- Inndata GoF'!G19=0,0,IF('Tillegg- Inndata GoF'!H19&gt;49,-0.064*'Tillegg- Inndata GoF'!G19*'Tillegg- Inndata GoF'!N19,-0.037*'Tillegg- Inndata GoF'!J19*'Tillegg- Inndata GoF'!N19))</f>
        <v>0</v>
      </c>
      <c r="X21" s="331" cm="1">
        <f t="array" ref="X21">IF(SUM(F21:J21,L21)=0, 0, SUM(F21:J21,L21)*(1+'Tillegg-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Y21" s="330" cm="1">
        <f t="array" ref="Y21">IF(X21=0, 0, SUM(K21,M21)*(1+'Tillegg-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Z21" s="336" cm="1">
        <f t="array" ref="Z21">IF(X21=0, 0, SUM(N21:P21)*(1+'Tillegg-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AA21" s="336" cm="1">
        <f t="array" ref="AA21">IF(X21=0, 0, ('Tillegg- Inndata GoF'!G19+'Tillegg- Inndata GoF'!O19+'Tillegg- Inndata GoF'!S19)*(1+'Tillegg- Inndata GoF'!K19)*Transport_utslipp_til_avfallshånderting_per_kg*IF('Tillegg- Inndata GoF'!H19&gt;50, 0, _xlfn.XLOOKUP('Tillegg- Inndata GoF'!H19, År_etter_ferdigstillelse, IF(VALUE(LEFT('Tillegg- Inndata GoF'!B19, 2))= 49, f_tid_x_f_tek_d_0_037_kumulativ, f_tid_x_f_tek_d_0_01_kumulativ))))</f>
        <v>0</v>
      </c>
      <c r="AB21" s="334" cm="1">
        <f t="array" ref="AB21">IF(X21=0, 0,1.833*'Tillegg- Inndata GoF'!J19*('Tillegg- Inndata GoF'!X19*_xlfn.XLOOKUP(IF('Tillegg- Inndata GoF'!I19&lt;2,'Tillegg- Inndata GoF'!H19,'Tillegg- Inndata GoF'!H19*2), År_etter_ferdigstillelse, Faktorer!$Z$7:$Z$58))*('Tillegg- Inndata GoF'!L19*0.5+'Tillegg- Inndata GoF'!M19*0.8)*_xlfn.XLOOKUP(IF('Tillegg- Inndata GoF'!I19&lt;2,'Tillegg- Inndata GoF'!H19,'Tillegg- Inndata GoF'!H19*2), År_etter_ferdigstillelse,  IF(LEFT('Tillegg- Inndata GoF'!B19, 2)= 49, f_tid_x_f_tek_d_0_037, f_tid_x_f_tek_d_0_01)))</f>
        <v>0</v>
      </c>
      <c r="AC21" s="335">
        <f>IF(('Tillegg- Inndata GoF'!G19) = 0, 0,(('Tillegg- Inndata GoF'!G19)*((AG21+AI21)*Transport_utslipp_til_avfallshånderting_per_kg)+('Tillegg- Inndata GoF'!Z19*'ZERO-B Beregning'!D121)*IF('ZERO-B Beregning'!F122=0,'ZERO-B Beregning'!D122,'ZERO-B Beregning'!F122))*_xlfn.XLOOKUP(51, År_etter_ferdigstillelse, f_tid_x_f_tek_d_0_01))</f>
        <v>0</v>
      </c>
      <c r="AD21" s="337">
        <f>IF(('Tillegg- Inndata GoF'!G19) = 0, 0,1.833*('Tillegg- Inndata GoF'!G19*('Tillegg- Inndata GoF'!L19*0.5+'Tillegg- Inndata GoF'!M19*0.8)*AG21*_xlfn.XLOOKUP(51, År_etter_ferdigstillelse,  f_tid_x_f_tek_d_0_01)))</f>
        <v>0</v>
      </c>
      <c r="AE21" s="333" cm="1">
        <f t="array" ref="AE21">IF(('Tillegg- Inndata GoF'!G19) = 0, 0,-0.8*('Tillegg- Inndata GoF'!G19)*AH21*('Tillegg- Inndata GoF'!E19/'Tillegg- Inndata GoF'!G19)*_xlfn.XLOOKUP(51, År_etter_ferdigstillelse,  IF(LEFT('Tillegg- Inndata GoF'!B19, 2)= 49, f_tid_x_f_tek_d_0_037, f_tid_x_f_tek_d_0_01)))</f>
        <v>0</v>
      </c>
      <c r="AF21" s="338" cm="1">
        <f t="array" ref="AF21">IF(('Tillegg- Inndata GoF'!G19) = 0, 0,-0.1*('Tillegg- Inndata GoF'!G19)*AI21*('Tillegg- Inndata GoF'!E19/'Tillegg- Inndata GoF'!G19)*_xlfn.XLOOKUP(51, År_etter_ferdigstillelse,  IF(LEFT('Tillegg- Inndata GoF'!B19, 2)= 49, f_tid_x_f_tek_d_0_037, f_tid_x_f_tek_d_0_01)))</f>
        <v>0</v>
      </c>
      <c r="AG21" s="572">
        <f>IF(('Tillegg- Inndata GoF'!G19) = 0, 0,'Tillegg- Inndata GoF'!X19*Faktorer!$Z$58)</f>
        <v>0</v>
      </c>
      <c r="AH21" s="573">
        <f>IF(('Tillegg- Inndata GoF'!G19) = 0, 0,'Tillegg- Inndata GoF'!Z19+('Tillegg- Inndata GoF'!X19+'Tillegg- Inndata GoF'!Y19)*(1-Faktorer!$Z$58)*0.5)</f>
        <v>0</v>
      </c>
      <c r="AI21" s="574">
        <f>IF(('Tillegg- Inndata GoF'!G19) = 0, 0,'Tillegg- Inndata GoF'!AA19+('Tillegg- Inndata GoF'!X19+'Tillegg- Inndata GoF'!Y19)*(1-Faktorer!$Z$58)*0.5)</f>
        <v>0</v>
      </c>
      <c r="AJ21" s="656"/>
      <c r="AK21" s="90">
        <f t="shared" si="1"/>
        <v>0</v>
      </c>
      <c r="AL21" s="91">
        <f>'Tillegg- Res. detaljert GoF'!N21</f>
        <v>0</v>
      </c>
      <c r="AM21" s="91" t="str">
        <f>IF(F21=0,"",('Tillegg- Inndata GoF'!E21+'Tillegg- Inndata GoF'!F21)*ROUNDDOWN('Tillegg- Inndata GoF'!I21,0)*(1+'Tillegg- Inndata GoF'!K21))</f>
        <v/>
      </c>
    </row>
    <row r="22" spans="2:41">
      <c r="B22" s="327">
        <f>'Tillegg- Inndata GoF'!B20</f>
        <v>0</v>
      </c>
      <c r="C22" s="328">
        <f>'Tillegg- Inndata GoF'!C20</f>
        <v>0</v>
      </c>
      <c r="D22" s="329">
        <f>'Tillegg- Inndata GoF'!D20</f>
        <v>0</v>
      </c>
      <c r="E22" s="661" cm="1">
        <f t="array" ref="E22">SUM(IFERROR(F22:AF22,0))</f>
        <v>0</v>
      </c>
      <c r="F22" s="330">
        <f>'Tillegg- Inndata GoF'!E20</f>
        <v>0</v>
      </c>
      <c r="G22" s="330">
        <f>IF('Tillegg- Inndata GoF'!AB20="Ja", -0.8*'Tillegg- Res. detaljert GoF'!$F22, 0)</f>
        <v>0</v>
      </c>
      <c r="H22" s="330">
        <f>IF('Tillegg- Inndata GoF'!AC20="Ja", -0.4*'Tillegg- Res. detaljert GoF'!$F22, 0)</f>
        <v>0</v>
      </c>
      <c r="I22" s="330">
        <f>IF('Tillegg- Inndata GoF'!AD20="Ja", -1*'Tillegg- Res. detaljert GoF'!$F22, 0)</f>
        <v>0</v>
      </c>
      <c r="J22" s="330">
        <f>'Tillegg- Inndata GoF'!O20*'Tillegg- Inndata GoF'!P20</f>
        <v>0</v>
      </c>
      <c r="K22" s="330">
        <f>MAX(-0.75*(SUM('Tillegg- Res. detaljert GoF'!F22:J22)),-'Tillegg- Inndata GoF'!O20*'Tillegg- Inndata GoF'!Q20)</f>
        <v>0</v>
      </c>
      <c r="L22" s="330">
        <f>'Tillegg- Inndata GoF'!S20*'Tillegg- Inndata GoF'!T20</f>
        <v>0</v>
      </c>
      <c r="M22" s="330">
        <f>MAX(-0.75*(SUM('Tillegg- Res. detaljert GoF'!F22:I22,L22)),-'Tillegg- Inndata GoF'!S20*'Tillegg- Inndata GoF'!U20)</f>
        <v>0</v>
      </c>
      <c r="N22" s="331">
        <f>'Tillegg- Inndata GoF'!F20</f>
        <v>0</v>
      </c>
      <c r="O22" s="330">
        <f>'Tillegg- Inndata GoF'!O20*'Tillegg- Inndata GoF'!R20</f>
        <v>0</v>
      </c>
      <c r="P22" s="332">
        <f>'Tillegg- Inndata GoF'!S20*'Tillegg- Inndata GoF'!V20</f>
        <v>0</v>
      </c>
      <c r="Q22" s="333">
        <f>SUM(F22:J22,L22)*'Tillegg- Inndata GoF'!K20</f>
        <v>0</v>
      </c>
      <c r="R22" s="333">
        <f>(K22+M22)*'Tillegg- Inndata GoF'!K20</f>
        <v>0</v>
      </c>
      <c r="S22" s="333">
        <f>SUM(N22:P22)*'Tillegg- Inndata GoF'!K20</f>
        <v>0</v>
      </c>
      <c r="T22" s="334">
        <f>('Tillegg- Inndata GoF'!G20+'Tillegg- Inndata GoF'!O20+'Tillegg- Inndata GoF'!S20)*'Tillegg- Inndata GoF'!K20*Transport_utslipp_til_avfallshånderting_per_kg</f>
        <v>0</v>
      </c>
      <c r="U22" s="330">
        <f>IF('Tillegg- Inndata GoF'!E20 = 0, 0, 1.833*'Tillegg- Inndata GoF'!X20*'Tillegg- Inndata GoF'!K20*('Tillegg- Inndata GoF'!G20*('Tillegg- Inndata GoF'!L20*0.5+'Tillegg- Inndata GoF'!M20*0.8) + (12/44)*('Tillegg- Inndata GoF'!O20*'Tillegg- Inndata GoF'!Q20+'Tillegg- Inndata GoF'!S20*'Tillegg- Inndata GoF'!U20)))</f>
        <v>0</v>
      </c>
      <c r="V22" s="335">
        <f>IF('Tillegg- Inndata GoF'!G20 = 0, 0,  MAX(-SUM(F22:J22,L22)*'Tillegg- Inndata GoF'!L20, -0.114*IF('Tillegg- Inndata GoF'!H20 &gt; 49, _xlfn.XLOOKUP(49, År_etter_ferdigstillelse, karbon_opptak_faktor), _xlfn.XLOOKUP('Tillegg- Inndata GoF'!H20, År_etter_ferdigstillelse, karbon_opptak_faktor))*'Tillegg- Inndata GoF'!G20*'Tillegg- Inndata GoF'!L20*0.5))</f>
        <v>0</v>
      </c>
      <c r="W22" s="333">
        <f>IF('Tillegg- Inndata GoF'!G20=0,0,IF('Tillegg- Inndata GoF'!H20&gt;49,-0.064*'Tillegg- Inndata GoF'!G20*'Tillegg- Inndata GoF'!N20,-0.037*'Tillegg- Inndata GoF'!J20*'Tillegg- Inndata GoF'!N20))</f>
        <v>0</v>
      </c>
      <c r="X22" s="331" cm="1">
        <f t="array" ref="X22">IF(SUM(F22:J22,L22)=0, 0, SUM(F22:J22,L22)*(1+'Tillegg-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Y22" s="330" cm="1">
        <f t="array" ref="Y22">IF(X22=0, 0, SUM(K22,M22)*(1+'Tillegg-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Z22" s="336" cm="1">
        <f t="array" ref="Z22">IF(X22=0, 0, SUM(N22:P22)*(1+'Tillegg-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AA22" s="336" cm="1">
        <f t="array" ref="AA22">IF(X22=0, 0, ('Tillegg- Inndata GoF'!G20+'Tillegg- Inndata GoF'!O20+'Tillegg- Inndata GoF'!S20)*(1+'Tillegg- Inndata GoF'!K20)*Transport_utslipp_til_avfallshånderting_per_kg*IF('Tillegg- Inndata GoF'!H20&gt;50, 0, _xlfn.XLOOKUP('Tillegg- Inndata GoF'!H20, År_etter_ferdigstillelse, IF(VALUE(LEFT('Tillegg- Inndata GoF'!B20, 2))= 49, f_tid_x_f_tek_d_0_037_kumulativ, f_tid_x_f_tek_d_0_01_kumulativ))))</f>
        <v>0</v>
      </c>
      <c r="AB22" s="334" cm="1">
        <f t="array" ref="AB22">IF(X22=0, 0,1.833*'Tillegg- Inndata GoF'!J20*('Tillegg- Inndata GoF'!X20*_xlfn.XLOOKUP(IF('Tillegg- Inndata GoF'!I20&lt;2,'Tillegg- Inndata GoF'!H20,'Tillegg- Inndata GoF'!H20*2), År_etter_ferdigstillelse, Faktorer!$Z$7:$Z$58))*('Tillegg- Inndata GoF'!L20*0.5+'Tillegg- Inndata GoF'!M20*0.8)*_xlfn.XLOOKUP(IF('Tillegg- Inndata GoF'!I20&lt;2,'Tillegg- Inndata GoF'!H20,'Tillegg- Inndata GoF'!H20*2), År_etter_ferdigstillelse,  IF(LEFT('Tillegg- Inndata GoF'!B20, 2)= 49, f_tid_x_f_tek_d_0_037, f_tid_x_f_tek_d_0_01)))</f>
        <v>0</v>
      </c>
      <c r="AC22" s="335">
        <f>IF(('Tillegg- Inndata GoF'!G20) = 0, 0,(('Tillegg- Inndata GoF'!G20)*((AG22+AI22)*Transport_utslipp_til_avfallshånderting_per_kg)+('Tillegg- Inndata GoF'!Z20*'ZERO-B Beregning'!D122)*IF('ZERO-B Beregning'!F123=0,'ZERO-B Beregning'!D123,'ZERO-B Beregning'!F123))*_xlfn.XLOOKUP(51, År_etter_ferdigstillelse, f_tid_x_f_tek_d_0_01))</f>
        <v>0</v>
      </c>
      <c r="AD22" s="337">
        <f>IF(('Tillegg- Inndata GoF'!G20) = 0, 0,1.833*('Tillegg- Inndata GoF'!G20*('Tillegg- Inndata GoF'!L20*0.5+'Tillegg- Inndata GoF'!M20*0.8)*AG22*_xlfn.XLOOKUP(51, År_etter_ferdigstillelse,  f_tid_x_f_tek_d_0_01)))</f>
        <v>0</v>
      </c>
      <c r="AE22" s="333" cm="1">
        <f t="array" ref="AE22">IF(('Tillegg- Inndata GoF'!G20) = 0, 0,-0.8*('Tillegg- Inndata GoF'!G20)*AH22*('Tillegg- Inndata GoF'!E20/'Tillegg- Inndata GoF'!G20)*_xlfn.XLOOKUP(51, År_etter_ferdigstillelse,  IF(LEFT('Tillegg- Inndata GoF'!B20, 2)= 49, f_tid_x_f_tek_d_0_037, f_tid_x_f_tek_d_0_01)))</f>
        <v>0</v>
      </c>
      <c r="AF22" s="338" cm="1">
        <f t="array" ref="AF22">IF(('Tillegg- Inndata GoF'!G20) = 0, 0,-0.1*('Tillegg- Inndata GoF'!G20)*AI22*('Tillegg- Inndata GoF'!E20/'Tillegg- Inndata GoF'!G20)*_xlfn.XLOOKUP(51, År_etter_ferdigstillelse,  IF(LEFT('Tillegg- Inndata GoF'!B20, 2)= 49, f_tid_x_f_tek_d_0_037, f_tid_x_f_tek_d_0_01)))</f>
        <v>0</v>
      </c>
      <c r="AG22" s="572">
        <f>IF(('Tillegg- Inndata GoF'!G20) = 0, 0,'Tillegg- Inndata GoF'!X20*Faktorer!$Z$58)</f>
        <v>0</v>
      </c>
      <c r="AH22" s="573">
        <f>IF(('Tillegg- Inndata GoF'!G20) = 0, 0,'Tillegg- Inndata GoF'!Z20+('Tillegg- Inndata GoF'!X20+'Tillegg- Inndata GoF'!Y20)*(1-Faktorer!$Z$58)*0.5)</f>
        <v>0</v>
      </c>
      <c r="AI22" s="574">
        <f>IF(('Tillegg- Inndata GoF'!G20) = 0, 0,'Tillegg- Inndata GoF'!AA20+('Tillegg- Inndata GoF'!X20+'Tillegg- Inndata GoF'!Y20)*(1-Faktorer!$Z$58)*0.5)</f>
        <v>0</v>
      </c>
      <c r="AJ22" s="656"/>
      <c r="AK22" s="90">
        <f t="shared" si="1"/>
        <v>0</v>
      </c>
      <c r="AL22" s="91">
        <f>'Tillegg- Res. detaljert GoF'!N22</f>
        <v>0</v>
      </c>
      <c r="AM22" s="91" t="str">
        <f>IF(F22=0,"",('Tillegg- Inndata GoF'!E22+'Tillegg- Inndata GoF'!F22)*ROUNDDOWN('Tillegg- Inndata GoF'!I22,0)*(1+'Tillegg- Inndata GoF'!K22))</f>
        <v/>
      </c>
    </row>
    <row r="23" spans="2:41">
      <c r="B23" s="327">
        <f>'Tillegg- Inndata GoF'!B21</f>
        <v>0</v>
      </c>
      <c r="C23" s="328">
        <f>'Tillegg- Inndata GoF'!C21</f>
        <v>0</v>
      </c>
      <c r="D23" s="329">
        <f>'Tillegg- Inndata GoF'!D21</f>
        <v>0</v>
      </c>
      <c r="E23" s="661" cm="1">
        <f t="array" ref="E23">SUM(IFERROR(F23:AF23,0))</f>
        <v>0</v>
      </c>
      <c r="F23" s="330">
        <f>'Tillegg- Inndata GoF'!E21</f>
        <v>0</v>
      </c>
      <c r="G23" s="330">
        <f>IF('Tillegg- Inndata GoF'!AB21="Ja", -0.8*'Tillegg- Res. detaljert GoF'!$F23, 0)</f>
        <v>0</v>
      </c>
      <c r="H23" s="330">
        <f>IF('Tillegg- Inndata GoF'!AC21="Ja", -0.4*'Tillegg- Res. detaljert GoF'!$F23, 0)</f>
        <v>0</v>
      </c>
      <c r="I23" s="330">
        <f>IF('Tillegg- Inndata GoF'!AD21="Ja", -1*'Tillegg- Res. detaljert GoF'!$F23, 0)</f>
        <v>0</v>
      </c>
      <c r="J23" s="330">
        <f>'Tillegg- Inndata GoF'!O21*'Tillegg- Inndata GoF'!P21</f>
        <v>0</v>
      </c>
      <c r="K23" s="330">
        <f>MAX(-0.75*(SUM('Tillegg- Res. detaljert GoF'!F23:J23)),-'Tillegg- Inndata GoF'!O21*'Tillegg- Inndata GoF'!Q21)</f>
        <v>0</v>
      </c>
      <c r="L23" s="330">
        <f>'Tillegg- Inndata GoF'!S21*'Tillegg- Inndata GoF'!T21</f>
        <v>0</v>
      </c>
      <c r="M23" s="330">
        <f>MAX(-0.75*(SUM('Tillegg- Res. detaljert GoF'!F23:I23,L23)),-'Tillegg- Inndata GoF'!S21*'Tillegg- Inndata GoF'!U21)</f>
        <v>0</v>
      </c>
      <c r="N23" s="331">
        <f>'Tillegg- Inndata GoF'!F21</f>
        <v>0</v>
      </c>
      <c r="O23" s="330">
        <f>'Tillegg- Inndata GoF'!O21*'Tillegg- Inndata GoF'!R21</f>
        <v>0</v>
      </c>
      <c r="P23" s="332">
        <f>'Tillegg- Inndata GoF'!S21*'Tillegg- Inndata GoF'!V21</f>
        <v>0</v>
      </c>
      <c r="Q23" s="333">
        <f>SUM(F23:J23,L23)*'Tillegg- Inndata GoF'!K21</f>
        <v>0</v>
      </c>
      <c r="R23" s="333">
        <f>(K23+M23)*'Tillegg- Inndata GoF'!K21</f>
        <v>0</v>
      </c>
      <c r="S23" s="333">
        <f>SUM(N23:P23)*'Tillegg- Inndata GoF'!K21</f>
        <v>0</v>
      </c>
      <c r="T23" s="334">
        <f>('Tillegg- Inndata GoF'!G21+'Tillegg- Inndata GoF'!O21+'Tillegg- Inndata GoF'!S21)*'Tillegg- Inndata GoF'!K21*Transport_utslipp_til_avfallshånderting_per_kg</f>
        <v>0</v>
      </c>
      <c r="U23" s="330">
        <f>IF('Tillegg- Inndata GoF'!E21 = 0, 0, 1.833*'Tillegg- Inndata GoF'!X21*'Tillegg- Inndata GoF'!K21*('Tillegg- Inndata GoF'!G21*('Tillegg- Inndata GoF'!L21*0.5+'Tillegg- Inndata GoF'!M21*0.8) + (12/44)*('Tillegg- Inndata GoF'!O21*'Tillegg- Inndata GoF'!Q21+'Tillegg- Inndata GoF'!S21*'Tillegg- Inndata GoF'!U21)))</f>
        <v>0</v>
      </c>
      <c r="V23" s="335">
        <f>IF('Tillegg- Inndata GoF'!G21 = 0, 0,  MAX(-SUM(F23:J23,L23)*'Tillegg- Inndata GoF'!L21, -0.114*IF('Tillegg- Inndata GoF'!H21 &gt; 49, _xlfn.XLOOKUP(49, År_etter_ferdigstillelse, karbon_opptak_faktor), _xlfn.XLOOKUP('Tillegg- Inndata GoF'!H21, År_etter_ferdigstillelse, karbon_opptak_faktor))*'Tillegg- Inndata GoF'!G21*'Tillegg- Inndata GoF'!L21*0.5))</f>
        <v>0</v>
      </c>
      <c r="W23" s="333">
        <f>IF('Tillegg- Inndata GoF'!G21=0,0,IF('Tillegg- Inndata GoF'!H21&gt;49,-0.064*'Tillegg- Inndata GoF'!G21*'Tillegg- Inndata GoF'!N21,-0.037*'Tillegg- Inndata GoF'!J21*'Tillegg- Inndata GoF'!N21))</f>
        <v>0</v>
      </c>
      <c r="X23" s="331" cm="1">
        <f t="array" ref="X23">IF(SUM(F23:J23,L23)=0, 0, SUM(F23:J23,L23)*(1+'Tillegg-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Y23" s="330" cm="1">
        <f t="array" ref="Y23">IF(X23=0, 0, SUM(K23,M23)*(1+'Tillegg-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Z23" s="336" cm="1">
        <f t="array" ref="Z23">IF(X23=0, 0, SUM(N23:P23)*(1+'Tillegg-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AA23" s="336" cm="1">
        <f t="array" ref="AA23">IF(X23=0, 0, ('Tillegg- Inndata GoF'!G21+'Tillegg- Inndata GoF'!O21+'Tillegg- Inndata GoF'!S21)*(1+'Tillegg- Inndata GoF'!K21)*Transport_utslipp_til_avfallshånderting_per_kg*IF('Tillegg- Inndata GoF'!H21&gt;50, 0, _xlfn.XLOOKUP('Tillegg- Inndata GoF'!H21, År_etter_ferdigstillelse, IF(VALUE(LEFT('Tillegg- Inndata GoF'!B21, 2))= 49, f_tid_x_f_tek_d_0_037_kumulativ, f_tid_x_f_tek_d_0_01_kumulativ))))</f>
        <v>0</v>
      </c>
      <c r="AB23" s="334" cm="1">
        <f t="array" ref="AB23">IF(X23=0, 0,1.833*'Tillegg- Inndata GoF'!J21*('Tillegg- Inndata GoF'!X21*_xlfn.XLOOKUP(IF('Tillegg- Inndata GoF'!I21&lt;2,'Tillegg- Inndata GoF'!H21,'Tillegg- Inndata GoF'!H21*2), År_etter_ferdigstillelse, Faktorer!$Z$7:$Z$58))*('Tillegg- Inndata GoF'!L21*0.5+'Tillegg- Inndata GoF'!M21*0.8)*_xlfn.XLOOKUP(IF('Tillegg- Inndata GoF'!I21&lt;2,'Tillegg- Inndata GoF'!H21,'Tillegg- Inndata GoF'!H21*2), År_etter_ferdigstillelse,  IF(LEFT('Tillegg- Inndata GoF'!B21, 2)= 49, f_tid_x_f_tek_d_0_037, f_tid_x_f_tek_d_0_01)))</f>
        <v>0</v>
      </c>
      <c r="AC23" s="335">
        <f>IF(('Tillegg- Inndata GoF'!G21) = 0, 0,(('Tillegg- Inndata GoF'!G21)*((AG23+AI23)*Transport_utslipp_til_avfallshånderting_per_kg)+('Tillegg- Inndata GoF'!Z21*'ZERO-B Beregning'!D123)*IF('ZERO-B Beregning'!F124=0,'ZERO-B Beregning'!D124,'ZERO-B Beregning'!F124))*_xlfn.XLOOKUP(51, År_etter_ferdigstillelse, f_tid_x_f_tek_d_0_01))</f>
        <v>0</v>
      </c>
      <c r="AD23" s="337">
        <f>IF(('Tillegg- Inndata GoF'!G21) = 0, 0,1.833*('Tillegg- Inndata GoF'!G21*('Tillegg- Inndata GoF'!L21*0.5+'Tillegg- Inndata GoF'!M21*0.8)*AG23*_xlfn.XLOOKUP(51, År_etter_ferdigstillelse,  f_tid_x_f_tek_d_0_01)))</f>
        <v>0</v>
      </c>
      <c r="AE23" s="333" cm="1">
        <f t="array" ref="AE23">IF(('Tillegg- Inndata GoF'!G21) = 0, 0,-0.8*('Tillegg- Inndata GoF'!G21)*AH23*('Tillegg- Inndata GoF'!E21/'Tillegg- Inndata GoF'!G21)*_xlfn.XLOOKUP(51, År_etter_ferdigstillelse,  IF(LEFT('Tillegg- Inndata GoF'!B21, 2)= 49, f_tid_x_f_tek_d_0_037, f_tid_x_f_tek_d_0_01)))</f>
        <v>0</v>
      </c>
      <c r="AF23" s="338" cm="1">
        <f t="array" ref="AF23">IF(('Tillegg- Inndata GoF'!G21) = 0, 0,-0.1*('Tillegg- Inndata GoF'!G21)*AI23*('Tillegg- Inndata GoF'!E21/'Tillegg- Inndata GoF'!G21)*_xlfn.XLOOKUP(51, År_etter_ferdigstillelse,  IF(LEFT('Tillegg- Inndata GoF'!B21, 2)= 49, f_tid_x_f_tek_d_0_037, f_tid_x_f_tek_d_0_01)))</f>
        <v>0</v>
      </c>
      <c r="AG23" s="572">
        <f>IF(('Tillegg- Inndata GoF'!G21) = 0, 0,'Tillegg- Inndata GoF'!X21*Faktorer!$Z$58)</f>
        <v>0</v>
      </c>
      <c r="AH23" s="573">
        <f>IF(('Tillegg- Inndata GoF'!G21) = 0, 0,'Tillegg- Inndata GoF'!Z21+('Tillegg- Inndata GoF'!X21+'Tillegg- Inndata GoF'!Y21)*(1-Faktorer!$Z$58)*0.5)</f>
        <v>0</v>
      </c>
      <c r="AI23" s="574">
        <f>IF(('Tillegg- Inndata GoF'!G21) = 0, 0,'Tillegg- Inndata GoF'!AA21+('Tillegg- Inndata GoF'!X21+'Tillegg- Inndata GoF'!Y21)*(1-Faktorer!$Z$58)*0.5)</f>
        <v>0</v>
      </c>
      <c r="AJ23" s="656"/>
      <c r="AK23" s="90">
        <f t="shared" si="1"/>
        <v>0</v>
      </c>
      <c r="AL23" s="91">
        <f>'Tillegg- Res. detaljert GoF'!N23</f>
        <v>0</v>
      </c>
      <c r="AM23" s="91" t="str">
        <f>IF(F23=0,"",('Tillegg- Inndata GoF'!E23+'Tillegg- Inndata GoF'!F23)*ROUNDDOWN('Tillegg- Inndata GoF'!I23,0)*(1+'Tillegg- Inndata GoF'!K23))</f>
        <v/>
      </c>
    </row>
    <row r="24" spans="2:41">
      <c r="B24" s="327">
        <f>'Tillegg- Inndata GoF'!B22</f>
        <v>0</v>
      </c>
      <c r="C24" s="328">
        <f>'Tillegg- Inndata GoF'!C22</f>
        <v>0</v>
      </c>
      <c r="D24" s="329">
        <f>'Tillegg- Inndata GoF'!D22</f>
        <v>0</v>
      </c>
      <c r="E24" s="661" cm="1">
        <f t="array" ref="E24">SUM(IFERROR(F24:AF24,0))</f>
        <v>0</v>
      </c>
      <c r="F24" s="330">
        <f>'Tillegg- Inndata GoF'!E22</f>
        <v>0</v>
      </c>
      <c r="G24" s="330">
        <f>IF('Tillegg- Inndata GoF'!AB22="Ja", -0.8*'Tillegg- Res. detaljert GoF'!$F24, 0)</f>
        <v>0</v>
      </c>
      <c r="H24" s="330">
        <f>IF('Tillegg- Inndata GoF'!AC22="Ja", -0.4*'Tillegg- Res. detaljert GoF'!$F24, 0)</f>
        <v>0</v>
      </c>
      <c r="I24" s="330">
        <f>IF('Tillegg- Inndata GoF'!AD22="Ja", -1*'Tillegg- Res. detaljert GoF'!$F24, 0)</f>
        <v>0</v>
      </c>
      <c r="J24" s="330">
        <f>'Tillegg- Inndata GoF'!O22*'Tillegg- Inndata GoF'!P22</f>
        <v>0</v>
      </c>
      <c r="K24" s="330">
        <f>MAX(-0.75*(SUM('Tillegg- Res. detaljert GoF'!F24:J24)),-'Tillegg- Inndata GoF'!O22*'Tillegg- Inndata GoF'!Q22)</f>
        <v>0</v>
      </c>
      <c r="L24" s="330">
        <f>'Tillegg- Inndata GoF'!S22*'Tillegg- Inndata GoF'!T22</f>
        <v>0</v>
      </c>
      <c r="M24" s="330">
        <f>MAX(-0.75*(SUM('Tillegg- Res. detaljert GoF'!F24:I24,L24)),-'Tillegg- Inndata GoF'!S22*'Tillegg- Inndata GoF'!U22)</f>
        <v>0</v>
      </c>
      <c r="N24" s="331">
        <f>'Tillegg- Inndata GoF'!F22</f>
        <v>0</v>
      </c>
      <c r="O24" s="330">
        <f>'Tillegg- Inndata GoF'!O22*'Tillegg- Inndata GoF'!R22</f>
        <v>0</v>
      </c>
      <c r="P24" s="332">
        <f>'Tillegg- Inndata GoF'!S22*'Tillegg- Inndata GoF'!V22</f>
        <v>0</v>
      </c>
      <c r="Q24" s="333">
        <f>SUM(F24:J24,L24)*'Tillegg- Inndata GoF'!K22</f>
        <v>0</v>
      </c>
      <c r="R24" s="333">
        <f>(K24+M24)*'Tillegg- Inndata GoF'!K22</f>
        <v>0</v>
      </c>
      <c r="S24" s="333">
        <f>SUM(N24:P24)*'Tillegg- Inndata GoF'!K22</f>
        <v>0</v>
      </c>
      <c r="T24" s="334">
        <f>('Tillegg- Inndata GoF'!G22+'Tillegg- Inndata GoF'!O22+'Tillegg- Inndata GoF'!S22)*'Tillegg- Inndata GoF'!K22*Transport_utslipp_til_avfallshånderting_per_kg</f>
        <v>0</v>
      </c>
      <c r="U24" s="330">
        <f>IF('Tillegg- Inndata GoF'!E22 = 0, 0, 1.833*'Tillegg- Inndata GoF'!X22*'Tillegg- Inndata GoF'!K22*('Tillegg- Inndata GoF'!G22*('Tillegg- Inndata GoF'!L22*0.5+'Tillegg- Inndata GoF'!M22*0.8) + (12/44)*('Tillegg- Inndata GoF'!O22*'Tillegg- Inndata GoF'!Q22+'Tillegg- Inndata GoF'!S22*'Tillegg- Inndata GoF'!U22)))</f>
        <v>0</v>
      </c>
      <c r="V24" s="335">
        <f>IF('Tillegg- Inndata GoF'!G22 = 0, 0,  MAX(-SUM(F24:J24,L24)*'Tillegg- Inndata GoF'!L22, -0.114*IF('Tillegg- Inndata GoF'!H22 &gt; 49, _xlfn.XLOOKUP(49, År_etter_ferdigstillelse, karbon_opptak_faktor), _xlfn.XLOOKUP('Tillegg- Inndata GoF'!H22, År_etter_ferdigstillelse, karbon_opptak_faktor))*'Tillegg- Inndata GoF'!G22*'Tillegg- Inndata GoF'!L22*0.5))</f>
        <v>0</v>
      </c>
      <c r="W24" s="333">
        <f>IF('Tillegg- Inndata GoF'!G22=0,0,IF('Tillegg- Inndata GoF'!H22&gt;49,-0.064*'Tillegg- Inndata GoF'!G22*'Tillegg- Inndata GoF'!N22,-0.037*'Tillegg- Inndata GoF'!J22*'Tillegg- Inndata GoF'!N22))</f>
        <v>0</v>
      </c>
      <c r="X24" s="331" cm="1">
        <f t="array" ref="X24">IF(SUM(F24:J24,L24)=0, 0, SUM(F24:J24,L24)*(1+'Tillegg-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Y24" s="330" cm="1">
        <f t="array" ref="Y24">IF(X24=0, 0, SUM(K24,M24)*(1+'Tillegg-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Z24" s="336" cm="1">
        <f t="array" ref="Z24">IF(X24=0, 0, SUM(N24:P24)*(1+'Tillegg-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AA24" s="336" cm="1">
        <f t="array" ref="AA24">IF(X24=0, 0, ('Tillegg- Inndata GoF'!G22+'Tillegg- Inndata GoF'!O22+'Tillegg- Inndata GoF'!S22)*(1+'Tillegg- Inndata GoF'!K22)*Transport_utslipp_til_avfallshånderting_per_kg*IF('Tillegg- Inndata GoF'!H22&gt;50, 0, _xlfn.XLOOKUP('Tillegg- Inndata GoF'!H22, År_etter_ferdigstillelse, IF(VALUE(LEFT('Tillegg- Inndata GoF'!B22, 2))= 49, f_tid_x_f_tek_d_0_037_kumulativ, f_tid_x_f_tek_d_0_01_kumulativ))))</f>
        <v>0</v>
      </c>
      <c r="AB24" s="334" cm="1">
        <f t="array" ref="AB24">IF(X24=0, 0,1.833*'Tillegg- Inndata GoF'!J22*('Tillegg- Inndata GoF'!X22*_xlfn.XLOOKUP(IF('Tillegg- Inndata GoF'!I22&lt;2,'Tillegg- Inndata GoF'!H22,'Tillegg- Inndata GoF'!H22*2), År_etter_ferdigstillelse, Faktorer!$Z$7:$Z$58))*('Tillegg- Inndata GoF'!L22*0.5+'Tillegg- Inndata GoF'!M22*0.8)*_xlfn.XLOOKUP(IF('Tillegg- Inndata GoF'!I22&lt;2,'Tillegg- Inndata GoF'!H22,'Tillegg- Inndata GoF'!H22*2), År_etter_ferdigstillelse,  IF(LEFT('Tillegg- Inndata GoF'!B22, 2)= 49, f_tid_x_f_tek_d_0_037, f_tid_x_f_tek_d_0_01)))</f>
        <v>0</v>
      </c>
      <c r="AC24" s="335">
        <f>IF(('Tillegg- Inndata GoF'!G22) = 0, 0,(('Tillegg- Inndata GoF'!G22)*((AG24+AI24)*Transport_utslipp_til_avfallshånderting_per_kg)+('Tillegg- Inndata GoF'!Z22*'ZERO-B Beregning'!D124)*IF('ZERO-B Beregning'!F125=0,'ZERO-B Beregning'!D125,'ZERO-B Beregning'!F125))*_xlfn.XLOOKUP(51, År_etter_ferdigstillelse, f_tid_x_f_tek_d_0_01))</f>
        <v>0</v>
      </c>
      <c r="AD24" s="337">
        <f>IF(('Tillegg- Inndata GoF'!G22) = 0, 0,1.833*('Tillegg- Inndata GoF'!G22*('Tillegg- Inndata GoF'!L22*0.5+'Tillegg- Inndata GoF'!M22*0.8)*AG24*_xlfn.XLOOKUP(51, År_etter_ferdigstillelse,  f_tid_x_f_tek_d_0_01)))</f>
        <v>0</v>
      </c>
      <c r="AE24" s="333" cm="1">
        <f t="array" ref="AE24">IF(('Tillegg- Inndata GoF'!G22) = 0, 0,-0.8*('Tillegg- Inndata GoF'!G22)*AH24*('Tillegg- Inndata GoF'!E22/'Tillegg- Inndata GoF'!G22)*_xlfn.XLOOKUP(51, År_etter_ferdigstillelse,  IF(LEFT('Tillegg- Inndata GoF'!B22, 2)= 49, f_tid_x_f_tek_d_0_037, f_tid_x_f_tek_d_0_01)))</f>
        <v>0</v>
      </c>
      <c r="AF24" s="338" cm="1">
        <f t="array" ref="AF24">IF(('Tillegg- Inndata GoF'!G22) = 0, 0,-0.1*('Tillegg- Inndata GoF'!G22)*AI24*('Tillegg- Inndata GoF'!E22/'Tillegg- Inndata GoF'!G22)*_xlfn.XLOOKUP(51, År_etter_ferdigstillelse,  IF(LEFT('Tillegg- Inndata GoF'!B22, 2)= 49, f_tid_x_f_tek_d_0_037, f_tid_x_f_tek_d_0_01)))</f>
        <v>0</v>
      </c>
      <c r="AG24" s="572">
        <f>IF(('Tillegg- Inndata GoF'!G22) = 0, 0,'Tillegg- Inndata GoF'!X22*Faktorer!$Z$58)</f>
        <v>0</v>
      </c>
      <c r="AH24" s="573">
        <f>IF(('Tillegg- Inndata GoF'!G22) = 0, 0,'Tillegg- Inndata GoF'!Z22+('Tillegg- Inndata GoF'!X22+'Tillegg- Inndata GoF'!Y22)*(1-Faktorer!$Z$58)*0.5)</f>
        <v>0</v>
      </c>
      <c r="AI24" s="574">
        <f>IF(('Tillegg- Inndata GoF'!G22) = 0, 0,'Tillegg- Inndata GoF'!AA22+('Tillegg- Inndata GoF'!X22+'Tillegg- Inndata GoF'!Y22)*(1-Faktorer!$Z$58)*0.5)</f>
        <v>0</v>
      </c>
      <c r="AK24" s="90">
        <f t="shared" si="1"/>
        <v>0</v>
      </c>
      <c r="AL24" s="91">
        <f>'Tillegg- Res. detaljert GoF'!N24</f>
        <v>0</v>
      </c>
      <c r="AM24" s="91" t="str">
        <f>IF(F24=0,"",('Tillegg- Inndata GoF'!E24+'Tillegg- Inndata GoF'!F24)*ROUNDDOWN('Tillegg- Inndata GoF'!I24,0)*(1+'Tillegg- Inndata GoF'!K24))</f>
        <v/>
      </c>
    </row>
    <row r="25" spans="2:41">
      <c r="B25" s="327">
        <f>'Tillegg- Inndata GoF'!B23</f>
        <v>0</v>
      </c>
      <c r="C25" s="328">
        <f>'Tillegg- Inndata GoF'!C23</f>
        <v>0</v>
      </c>
      <c r="D25" s="329">
        <f>'Tillegg- Inndata GoF'!D23</f>
        <v>0</v>
      </c>
      <c r="E25" s="661" cm="1">
        <f t="array" ref="E25">SUM(IFERROR(F25:AF25,0))</f>
        <v>0</v>
      </c>
      <c r="F25" s="330">
        <f>'Tillegg- Inndata GoF'!E23</f>
        <v>0</v>
      </c>
      <c r="G25" s="330">
        <f>IF('Tillegg- Inndata GoF'!AB23="Ja", -0.8*'Tillegg- Res. detaljert GoF'!$F25, 0)</f>
        <v>0</v>
      </c>
      <c r="H25" s="330">
        <f>IF('Tillegg- Inndata GoF'!AC23="Ja", -0.4*'Tillegg- Res. detaljert GoF'!$F25, 0)</f>
        <v>0</v>
      </c>
      <c r="I25" s="330">
        <f>IF('Tillegg- Inndata GoF'!AD23="Ja", -1*'Tillegg- Res. detaljert GoF'!$F25, 0)</f>
        <v>0</v>
      </c>
      <c r="J25" s="330">
        <f>'Tillegg- Inndata GoF'!O23*'Tillegg- Inndata GoF'!P23</f>
        <v>0</v>
      </c>
      <c r="K25" s="330">
        <f>MAX(-0.75*(SUM('Tillegg- Res. detaljert GoF'!F25:J25)),-'Tillegg- Inndata GoF'!O23*'Tillegg- Inndata GoF'!Q23)</f>
        <v>0</v>
      </c>
      <c r="L25" s="330">
        <f>'Tillegg- Inndata GoF'!S23*'Tillegg- Inndata GoF'!T23</f>
        <v>0</v>
      </c>
      <c r="M25" s="330">
        <f>MAX(-0.75*(SUM('Tillegg- Res. detaljert GoF'!F25:I25,L25)),-'Tillegg- Inndata GoF'!S23*'Tillegg- Inndata GoF'!U23)</f>
        <v>0</v>
      </c>
      <c r="N25" s="331">
        <f>'Tillegg- Inndata GoF'!F23</f>
        <v>0</v>
      </c>
      <c r="O25" s="330">
        <f>'Tillegg- Inndata GoF'!O23*'Tillegg- Inndata GoF'!R23</f>
        <v>0</v>
      </c>
      <c r="P25" s="332">
        <f>'Tillegg- Inndata GoF'!S23*'Tillegg- Inndata GoF'!V23</f>
        <v>0</v>
      </c>
      <c r="Q25" s="333">
        <f>SUM(F25:J25,L25)*'Tillegg- Inndata GoF'!K23</f>
        <v>0</v>
      </c>
      <c r="R25" s="333">
        <f>(K25+M25)*'Tillegg- Inndata GoF'!K23</f>
        <v>0</v>
      </c>
      <c r="S25" s="333">
        <f>SUM(N25:P25)*'Tillegg- Inndata GoF'!K23</f>
        <v>0</v>
      </c>
      <c r="T25" s="334">
        <f>('Tillegg- Inndata GoF'!G23+'Tillegg- Inndata GoF'!O23+'Tillegg- Inndata GoF'!S23)*'Tillegg- Inndata GoF'!K23*Transport_utslipp_til_avfallshånderting_per_kg</f>
        <v>0</v>
      </c>
      <c r="U25" s="330">
        <f>IF('Tillegg- Inndata GoF'!E23 = 0, 0, 1.833*'Tillegg- Inndata GoF'!X23*'Tillegg- Inndata GoF'!K23*('Tillegg- Inndata GoF'!G23*('Tillegg- Inndata GoF'!L23*0.5+'Tillegg- Inndata GoF'!M23*0.8) + (12/44)*('Tillegg- Inndata GoF'!O23*'Tillegg- Inndata GoF'!Q23+'Tillegg- Inndata GoF'!S23*'Tillegg- Inndata GoF'!U23)))</f>
        <v>0</v>
      </c>
      <c r="V25" s="335">
        <f>IF('Tillegg- Inndata GoF'!G23 = 0, 0,  MAX(-SUM(F25:J25,L25)*'Tillegg- Inndata GoF'!L23, -0.114*IF('Tillegg- Inndata GoF'!H23 &gt; 49, _xlfn.XLOOKUP(49, År_etter_ferdigstillelse, karbon_opptak_faktor), _xlfn.XLOOKUP('Tillegg- Inndata GoF'!H23, År_etter_ferdigstillelse, karbon_opptak_faktor))*'Tillegg- Inndata GoF'!G23*'Tillegg- Inndata GoF'!L23*0.5))</f>
        <v>0</v>
      </c>
      <c r="W25" s="333">
        <f>IF('Tillegg- Inndata GoF'!G23=0,0,IF('Tillegg- Inndata GoF'!H23&gt;49,-0.064*'Tillegg- Inndata GoF'!G23*'Tillegg- Inndata GoF'!N23,-0.037*'Tillegg- Inndata GoF'!J23*'Tillegg- Inndata GoF'!N23))</f>
        <v>0</v>
      </c>
      <c r="X25" s="331" cm="1">
        <f t="array" ref="X25">IF(SUM(F25:J25,L25)=0, 0, SUM(F25:J25,L25)*(1+'Tillegg-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Y25" s="330" cm="1">
        <f t="array" ref="Y25">IF(X25=0, 0, SUM(K25,M25)*(1+'Tillegg-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Z25" s="336" cm="1">
        <f t="array" ref="Z25">IF(X25=0, 0, SUM(N25:P25)*(1+'Tillegg-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AA25" s="336" cm="1">
        <f t="array" ref="AA25">IF(X25=0, 0, ('Tillegg- Inndata GoF'!G23+'Tillegg- Inndata GoF'!O23+'Tillegg- Inndata GoF'!S23)*(1+'Tillegg- Inndata GoF'!K23)*Transport_utslipp_til_avfallshånderting_per_kg*IF('Tillegg- Inndata GoF'!H23&gt;50, 0, _xlfn.XLOOKUP('Tillegg- Inndata GoF'!H23, År_etter_ferdigstillelse, IF(VALUE(LEFT('Tillegg- Inndata GoF'!B23, 2))= 49, f_tid_x_f_tek_d_0_037_kumulativ, f_tid_x_f_tek_d_0_01_kumulativ))))</f>
        <v>0</v>
      </c>
      <c r="AB25" s="334" cm="1">
        <f t="array" ref="AB25">IF(X25=0, 0,1.833*'Tillegg- Inndata GoF'!J23*('Tillegg- Inndata GoF'!X23*_xlfn.XLOOKUP(IF('Tillegg- Inndata GoF'!I23&lt;2,'Tillegg- Inndata GoF'!H23,'Tillegg- Inndata GoF'!H23*2), År_etter_ferdigstillelse, Faktorer!$Z$7:$Z$58))*('Tillegg- Inndata GoF'!L23*0.5+'Tillegg- Inndata GoF'!M23*0.8)*_xlfn.XLOOKUP(IF('Tillegg- Inndata GoF'!I23&lt;2,'Tillegg- Inndata GoF'!H23,'Tillegg- Inndata GoF'!H23*2), År_etter_ferdigstillelse,  IF(LEFT('Tillegg- Inndata GoF'!B23, 2)= 49, f_tid_x_f_tek_d_0_037, f_tid_x_f_tek_d_0_01)))</f>
        <v>0</v>
      </c>
      <c r="AC25" s="335">
        <f>IF(('Tillegg- Inndata GoF'!G23) = 0, 0,(('Tillegg- Inndata GoF'!G23)*((AG25+AI25)*Transport_utslipp_til_avfallshånderting_per_kg)+('Tillegg- Inndata GoF'!Z23*'ZERO-B Beregning'!D125)*IF('ZERO-B Beregning'!F126=0,'ZERO-B Beregning'!D126,'ZERO-B Beregning'!F126))*_xlfn.XLOOKUP(51, År_etter_ferdigstillelse, f_tid_x_f_tek_d_0_01))</f>
        <v>0</v>
      </c>
      <c r="AD25" s="337">
        <f>IF(('Tillegg- Inndata GoF'!G23) = 0, 0,1.833*('Tillegg- Inndata GoF'!G23*('Tillegg- Inndata GoF'!L23*0.5+'Tillegg- Inndata GoF'!M23*0.8)*AG25*_xlfn.XLOOKUP(51, År_etter_ferdigstillelse,  f_tid_x_f_tek_d_0_01)))</f>
        <v>0</v>
      </c>
      <c r="AE25" s="333" cm="1">
        <f t="array" ref="AE25">IF(('Tillegg- Inndata GoF'!G23) = 0, 0,-0.8*('Tillegg- Inndata GoF'!G23)*AH25*('Tillegg- Inndata GoF'!E23/'Tillegg- Inndata GoF'!G23)*_xlfn.XLOOKUP(51, År_etter_ferdigstillelse,  IF(LEFT('Tillegg- Inndata GoF'!B23, 2)= 49, f_tid_x_f_tek_d_0_037, f_tid_x_f_tek_d_0_01)))</f>
        <v>0</v>
      </c>
      <c r="AF25" s="338" cm="1">
        <f t="array" ref="AF25">IF(('Tillegg- Inndata GoF'!G23) = 0, 0,-0.1*('Tillegg- Inndata GoF'!G23)*AI25*('Tillegg- Inndata GoF'!E23/'Tillegg- Inndata GoF'!G23)*_xlfn.XLOOKUP(51, År_etter_ferdigstillelse,  IF(LEFT('Tillegg- Inndata GoF'!B23, 2)= 49, f_tid_x_f_tek_d_0_037, f_tid_x_f_tek_d_0_01)))</f>
        <v>0</v>
      </c>
      <c r="AG25" s="572">
        <f>IF(('Tillegg- Inndata GoF'!G23) = 0, 0,'Tillegg- Inndata GoF'!X23*Faktorer!$Z$58)</f>
        <v>0</v>
      </c>
      <c r="AH25" s="573">
        <f>IF(('Tillegg- Inndata GoF'!G23) = 0, 0,'Tillegg- Inndata GoF'!Z23+('Tillegg- Inndata GoF'!X23+'Tillegg- Inndata GoF'!Y23)*(1-Faktorer!$Z$58)*0.5)</f>
        <v>0</v>
      </c>
      <c r="AI25" s="574">
        <f>IF(('Tillegg- Inndata GoF'!G23) = 0, 0,'Tillegg- Inndata GoF'!AA23+('Tillegg- Inndata GoF'!X23+'Tillegg- Inndata GoF'!Y23)*(1-Faktorer!$Z$58)*0.5)</f>
        <v>0</v>
      </c>
      <c r="AK25" s="90">
        <f t="shared" si="1"/>
        <v>0</v>
      </c>
      <c r="AL25" s="91">
        <f>'Tillegg- Res. detaljert GoF'!N25</f>
        <v>0</v>
      </c>
      <c r="AM25" s="91" t="str">
        <f>IF(F25=0,"",('Tillegg- Inndata GoF'!E25+'Tillegg- Inndata GoF'!F25)*ROUNDDOWN('Tillegg- Inndata GoF'!I25,0)*(1+'Tillegg- Inndata GoF'!K25))</f>
        <v/>
      </c>
    </row>
    <row r="26" spans="2:41">
      <c r="B26" s="327">
        <f>'Tillegg- Inndata GoF'!B24</f>
        <v>0</v>
      </c>
      <c r="C26" s="328">
        <f>'Tillegg- Inndata GoF'!C24</f>
        <v>0</v>
      </c>
      <c r="D26" s="329">
        <f>'Tillegg- Inndata GoF'!D24</f>
        <v>0</v>
      </c>
      <c r="E26" s="661" cm="1">
        <f t="array" ref="E26">SUM(IFERROR(F26:AF26,0))</f>
        <v>0</v>
      </c>
      <c r="F26" s="330">
        <f>'Tillegg- Inndata GoF'!E24</f>
        <v>0</v>
      </c>
      <c r="G26" s="330">
        <f>IF('Tillegg- Inndata GoF'!AB24="Ja", -0.8*'Tillegg- Res. detaljert GoF'!$F26, 0)</f>
        <v>0</v>
      </c>
      <c r="H26" s="330">
        <f>IF('Tillegg- Inndata GoF'!AC24="Ja", -0.4*'Tillegg- Res. detaljert GoF'!$F26, 0)</f>
        <v>0</v>
      </c>
      <c r="I26" s="330">
        <f>IF('Tillegg- Inndata GoF'!AD24="Ja", -1*'Tillegg- Res. detaljert GoF'!$F26, 0)</f>
        <v>0</v>
      </c>
      <c r="J26" s="330">
        <f>'Tillegg- Inndata GoF'!O24*'Tillegg- Inndata GoF'!P24</f>
        <v>0</v>
      </c>
      <c r="K26" s="330">
        <f>MAX(-0.75*(SUM('Tillegg- Res. detaljert GoF'!F26:J26)),-'Tillegg- Inndata GoF'!O24*'Tillegg- Inndata GoF'!Q24)</f>
        <v>0</v>
      </c>
      <c r="L26" s="330">
        <f>'Tillegg- Inndata GoF'!S24*'Tillegg- Inndata GoF'!T24</f>
        <v>0</v>
      </c>
      <c r="M26" s="330">
        <f>MAX(-0.75*(SUM('Tillegg- Res. detaljert GoF'!F26:I26,L26)),-'Tillegg- Inndata GoF'!S24*'Tillegg- Inndata GoF'!U24)</f>
        <v>0</v>
      </c>
      <c r="N26" s="331">
        <f>'Tillegg- Inndata GoF'!F24</f>
        <v>0</v>
      </c>
      <c r="O26" s="330">
        <f>'Tillegg- Inndata GoF'!O24*'Tillegg- Inndata GoF'!R24</f>
        <v>0</v>
      </c>
      <c r="P26" s="332">
        <f>'Tillegg- Inndata GoF'!S24*'Tillegg- Inndata GoF'!V24</f>
        <v>0</v>
      </c>
      <c r="Q26" s="333">
        <f>SUM(F26:J26,L26)*'Tillegg- Inndata GoF'!K24</f>
        <v>0</v>
      </c>
      <c r="R26" s="333">
        <f>(K26+M26)*'Tillegg- Inndata GoF'!K24</f>
        <v>0</v>
      </c>
      <c r="S26" s="333">
        <f>SUM(N26:P26)*'Tillegg- Inndata GoF'!K24</f>
        <v>0</v>
      </c>
      <c r="T26" s="334">
        <f>('Tillegg- Inndata GoF'!G24+'Tillegg- Inndata GoF'!O24+'Tillegg- Inndata GoF'!S24)*'Tillegg- Inndata GoF'!K24*Transport_utslipp_til_avfallshånderting_per_kg</f>
        <v>0</v>
      </c>
      <c r="U26" s="330">
        <f>IF('Tillegg- Inndata GoF'!E24 = 0, 0, 1.833*'Tillegg- Inndata GoF'!X24*'Tillegg- Inndata GoF'!K24*('Tillegg- Inndata GoF'!G24*('Tillegg- Inndata GoF'!L24*0.5+'Tillegg- Inndata GoF'!M24*0.8) + (12/44)*('Tillegg- Inndata GoF'!O24*'Tillegg- Inndata GoF'!Q24+'Tillegg- Inndata GoF'!S24*'Tillegg- Inndata GoF'!U24)))</f>
        <v>0</v>
      </c>
      <c r="V26" s="335">
        <f>IF('Tillegg- Inndata GoF'!G24 = 0, 0,  MAX(-SUM(F26:J26,L26)*'Tillegg- Inndata GoF'!L24, -0.114*IF('Tillegg- Inndata GoF'!H24 &gt; 49, _xlfn.XLOOKUP(49, År_etter_ferdigstillelse, karbon_opptak_faktor), _xlfn.XLOOKUP('Tillegg- Inndata GoF'!H24, År_etter_ferdigstillelse, karbon_opptak_faktor))*'Tillegg- Inndata GoF'!G24*'Tillegg- Inndata GoF'!L24*0.5))</f>
        <v>0</v>
      </c>
      <c r="W26" s="333">
        <f>IF('Tillegg- Inndata GoF'!G24=0,0,IF('Tillegg- Inndata GoF'!H24&gt;49,-0.064*'Tillegg- Inndata GoF'!G24*'Tillegg- Inndata GoF'!N24,-0.037*'Tillegg- Inndata GoF'!J24*'Tillegg- Inndata GoF'!N24))</f>
        <v>0</v>
      </c>
      <c r="X26" s="331" cm="1">
        <f t="array" ref="X26">IF(SUM(F26:J26,L26)=0, 0, SUM(F26:J26,L26)*(1+'Tillegg-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Y26" s="330" cm="1">
        <f t="array" ref="Y26">IF(X26=0, 0, SUM(K26,M26)*(1+'Tillegg-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Z26" s="336" cm="1">
        <f t="array" ref="Z26">IF(X26=0, 0, SUM(N26:P26)*(1+'Tillegg-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AA26" s="336" cm="1">
        <f t="array" ref="AA26">IF(X26=0, 0, ('Tillegg- Inndata GoF'!G24+'Tillegg- Inndata GoF'!O24+'Tillegg- Inndata GoF'!S24)*(1+'Tillegg- Inndata GoF'!K24)*Transport_utslipp_til_avfallshånderting_per_kg*IF('Tillegg- Inndata GoF'!H24&gt;50, 0, _xlfn.XLOOKUP('Tillegg- Inndata GoF'!H24, År_etter_ferdigstillelse, IF(VALUE(LEFT('Tillegg- Inndata GoF'!B24, 2))= 49, f_tid_x_f_tek_d_0_037_kumulativ, f_tid_x_f_tek_d_0_01_kumulativ))))</f>
        <v>0</v>
      </c>
      <c r="AB26" s="334" cm="1">
        <f t="array" ref="AB26">IF(X26=0, 0,1.833*'Tillegg- Inndata GoF'!J24*('Tillegg- Inndata GoF'!X24*_xlfn.XLOOKUP(IF('Tillegg- Inndata GoF'!I24&lt;2,'Tillegg- Inndata GoF'!H24,'Tillegg- Inndata GoF'!H24*2), År_etter_ferdigstillelse, Faktorer!$Z$7:$Z$58))*('Tillegg- Inndata GoF'!L24*0.5+'Tillegg- Inndata GoF'!M24*0.8)*_xlfn.XLOOKUP(IF('Tillegg- Inndata GoF'!I24&lt;2,'Tillegg- Inndata GoF'!H24,'Tillegg- Inndata GoF'!H24*2), År_etter_ferdigstillelse,  IF(LEFT('Tillegg- Inndata GoF'!B24, 2)= 49, f_tid_x_f_tek_d_0_037, f_tid_x_f_tek_d_0_01)))</f>
        <v>0</v>
      </c>
      <c r="AC26" s="335">
        <f>IF(('Tillegg- Inndata GoF'!G24) = 0, 0,(('Tillegg- Inndata GoF'!G24)*((AG26+AI26)*Transport_utslipp_til_avfallshånderting_per_kg)+('Tillegg- Inndata GoF'!Z24*'ZERO-B Beregning'!D126)*IF('ZERO-B Beregning'!F127=0,'ZERO-B Beregning'!D127,'ZERO-B Beregning'!F127))*_xlfn.XLOOKUP(51, År_etter_ferdigstillelse, f_tid_x_f_tek_d_0_01))</f>
        <v>0</v>
      </c>
      <c r="AD26" s="337">
        <f>IF(('Tillegg- Inndata GoF'!G24) = 0, 0,1.833*('Tillegg- Inndata GoF'!G24*('Tillegg- Inndata GoF'!L24*0.5+'Tillegg- Inndata GoF'!M24*0.8)*AG26*_xlfn.XLOOKUP(51, År_etter_ferdigstillelse,  f_tid_x_f_tek_d_0_01)))</f>
        <v>0</v>
      </c>
      <c r="AE26" s="333" cm="1">
        <f t="array" ref="AE26">IF(('Tillegg- Inndata GoF'!G24) = 0, 0,-0.8*('Tillegg- Inndata GoF'!G24)*AH26*('Tillegg- Inndata GoF'!E24/'Tillegg- Inndata GoF'!G24)*_xlfn.XLOOKUP(51, År_etter_ferdigstillelse,  IF(LEFT('Tillegg- Inndata GoF'!B24, 2)= 49, f_tid_x_f_tek_d_0_037, f_tid_x_f_tek_d_0_01)))</f>
        <v>0</v>
      </c>
      <c r="AF26" s="338" cm="1">
        <f t="array" ref="AF26">IF(('Tillegg- Inndata GoF'!G24) = 0, 0,-0.1*('Tillegg- Inndata GoF'!G24)*AI26*('Tillegg- Inndata GoF'!E24/'Tillegg- Inndata GoF'!G24)*_xlfn.XLOOKUP(51, År_etter_ferdigstillelse,  IF(LEFT('Tillegg- Inndata GoF'!B24, 2)= 49, f_tid_x_f_tek_d_0_037, f_tid_x_f_tek_d_0_01)))</f>
        <v>0</v>
      </c>
      <c r="AG26" s="572">
        <f>IF(('Tillegg- Inndata GoF'!G24) = 0, 0,'Tillegg- Inndata GoF'!X24*Faktorer!$Z$58)</f>
        <v>0</v>
      </c>
      <c r="AH26" s="573">
        <f>IF(('Tillegg- Inndata GoF'!G24) = 0, 0,'Tillegg- Inndata GoF'!Z24+('Tillegg- Inndata GoF'!X24+'Tillegg- Inndata GoF'!Y24)*(1-Faktorer!$Z$58)*0.5)</f>
        <v>0</v>
      </c>
      <c r="AI26" s="574">
        <f>IF(('Tillegg- Inndata GoF'!G24) = 0, 0,'Tillegg- Inndata GoF'!AA24+('Tillegg- Inndata GoF'!X24+'Tillegg- Inndata GoF'!Y24)*(1-Faktorer!$Z$58)*0.5)</f>
        <v>0</v>
      </c>
      <c r="AK26" s="90">
        <f t="shared" si="1"/>
        <v>0</v>
      </c>
      <c r="AL26" s="91">
        <f>'Tillegg- Res. detaljert GoF'!N26</f>
        <v>0</v>
      </c>
      <c r="AM26" s="91" t="str">
        <f>IF(F26=0,"",('Tillegg- Inndata GoF'!E26+'Tillegg- Inndata GoF'!F26)*ROUNDDOWN('Tillegg- Inndata GoF'!I26,0)*(1+'Tillegg- Inndata GoF'!K26))</f>
        <v/>
      </c>
    </row>
    <row r="27" spans="2:41">
      <c r="B27" s="327">
        <f>'Tillegg- Inndata GoF'!B25</f>
        <v>0</v>
      </c>
      <c r="C27" s="328">
        <f>'Tillegg- Inndata GoF'!C25</f>
        <v>0</v>
      </c>
      <c r="D27" s="329">
        <f>'Tillegg- Inndata GoF'!D25</f>
        <v>0</v>
      </c>
      <c r="E27" s="661" cm="1">
        <f t="array" ref="E27">SUM(IFERROR(F27:AF27,0))</f>
        <v>0</v>
      </c>
      <c r="F27" s="330">
        <f>'Tillegg- Inndata GoF'!E25</f>
        <v>0</v>
      </c>
      <c r="G27" s="330">
        <f>IF('Tillegg- Inndata GoF'!AB25="Ja", -0.8*'Tillegg- Res. detaljert GoF'!$F27, 0)</f>
        <v>0</v>
      </c>
      <c r="H27" s="330">
        <f>IF('Tillegg- Inndata GoF'!AC25="Ja", -0.4*'Tillegg- Res. detaljert GoF'!$F27, 0)</f>
        <v>0</v>
      </c>
      <c r="I27" s="330">
        <f>IF('Tillegg- Inndata GoF'!AD25="Ja", -1*'Tillegg- Res. detaljert GoF'!$F27, 0)</f>
        <v>0</v>
      </c>
      <c r="J27" s="330">
        <f>'Tillegg- Inndata GoF'!O25*'Tillegg- Inndata GoF'!P25</f>
        <v>0</v>
      </c>
      <c r="K27" s="330">
        <f>MAX(-0.75*(SUM('Tillegg- Res. detaljert GoF'!F27:J27)),-'Tillegg- Inndata GoF'!O25*'Tillegg- Inndata GoF'!Q25)</f>
        <v>0</v>
      </c>
      <c r="L27" s="330">
        <f>'Tillegg- Inndata GoF'!S25*'Tillegg- Inndata GoF'!T25</f>
        <v>0</v>
      </c>
      <c r="M27" s="330">
        <f>MAX(-0.75*(SUM('Tillegg- Res. detaljert GoF'!F27:I27,L27)),-'Tillegg- Inndata GoF'!S25*'Tillegg- Inndata GoF'!U25)</f>
        <v>0</v>
      </c>
      <c r="N27" s="331">
        <f>'Tillegg- Inndata GoF'!F25</f>
        <v>0</v>
      </c>
      <c r="O27" s="330">
        <f>'Tillegg- Inndata GoF'!O25*'Tillegg- Inndata GoF'!R25</f>
        <v>0</v>
      </c>
      <c r="P27" s="332">
        <f>'Tillegg- Inndata GoF'!S25*'Tillegg- Inndata GoF'!V25</f>
        <v>0</v>
      </c>
      <c r="Q27" s="333">
        <f>SUM(F27:J27,L27)*'Tillegg- Inndata GoF'!K25</f>
        <v>0</v>
      </c>
      <c r="R27" s="333">
        <f>(K27+M27)*'Tillegg- Inndata GoF'!K25</f>
        <v>0</v>
      </c>
      <c r="S27" s="333">
        <f>SUM(N27:P27)*'Tillegg- Inndata GoF'!K25</f>
        <v>0</v>
      </c>
      <c r="T27" s="334">
        <f>('Tillegg- Inndata GoF'!G25+'Tillegg- Inndata GoF'!O25+'Tillegg- Inndata GoF'!S25)*'Tillegg- Inndata GoF'!K25*Transport_utslipp_til_avfallshånderting_per_kg</f>
        <v>0</v>
      </c>
      <c r="U27" s="330">
        <f>IF('Tillegg- Inndata GoF'!E25 = 0, 0, 1.833*'Tillegg- Inndata GoF'!X25*'Tillegg- Inndata GoF'!K25*('Tillegg- Inndata GoF'!G25*('Tillegg- Inndata GoF'!L25*0.5+'Tillegg- Inndata GoF'!M25*0.8) + (12/44)*('Tillegg- Inndata GoF'!O25*'Tillegg- Inndata GoF'!Q25+'Tillegg- Inndata GoF'!S25*'Tillegg- Inndata GoF'!U25)))</f>
        <v>0</v>
      </c>
      <c r="V27" s="335">
        <f>IF('Tillegg- Inndata GoF'!G25 = 0, 0,  MAX(-SUM(F27:J27,L27)*'Tillegg- Inndata GoF'!L25, -0.114*IF('Tillegg- Inndata GoF'!H25 &gt; 49, _xlfn.XLOOKUP(49, År_etter_ferdigstillelse, karbon_opptak_faktor), _xlfn.XLOOKUP('Tillegg- Inndata GoF'!H25, År_etter_ferdigstillelse, karbon_opptak_faktor))*'Tillegg- Inndata GoF'!G25*'Tillegg- Inndata GoF'!L25*0.5))</f>
        <v>0</v>
      </c>
      <c r="W27" s="333">
        <f>IF('Tillegg- Inndata GoF'!G25=0,0,IF('Tillegg- Inndata GoF'!H25&gt;49,-0.064*'Tillegg- Inndata GoF'!G25*'Tillegg- Inndata GoF'!N25,-0.037*'Tillegg- Inndata GoF'!J25*'Tillegg- Inndata GoF'!N25))</f>
        <v>0</v>
      </c>
      <c r="X27" s="331" cm="1">
        <f t="array" ref="X27">IF(SUM(F27:J27,L27)=0, 0, SUM(F27:J27,L27)*(1+'Tillegg-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Y27" s="330" cm="1">
        <f t="array" ref="Y27">IF(X27=0, 0, SUM(K27,M27)*(1+'Tillegg-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Z27" s="336" cm="1">
        <f t="array" ref="Z27">IF(X27=0, 0, SUM(N27:P27)*(1+'Tillegg-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AA27" s="336" cm="1">
        <f t="array" ref="AA27">IF(X27=0, 0, ('Tillegg- Inndata GoF'!G25+'Tillegg- Inndata GoF'!O25+'Tillegg- Inndata GoF'!S25)*(1+'Tillegg- Inndata GoF'!K25)*Transport_utslipp_til_avfallshånderting_per_kg*IF('Tillegg- Inndata GoF'!H25&gt;50, 0, _xlfn.XLOOKUP('Tillegg- Inndata GoF'!H25, År_etter_ferdigstillelse, IF(VALUE(LEFT('Tillegg- Inndata GoF'!B25, 2))= 49, f_tid_x_f_tek_d_0_037_kumulativ, f_tid_x_f_tek_d_0_01_kumulativ))))</f>
        <v>0</v>
      </c>
      <c r="AB27" s="334" cm="1">
        <f t="array" ref="AB27">IF(X27=0, 0,1.833*'Tillegg- Inndata GoF'!J25*('Tillegg- Inndata GoF'!X25*_xlfn.XLOOKUP(IF('Tillegg- Inndata GoF'!I25&lt;2,'Tillegg- Inndata GoF'!H25,'Tillegg- Inndata GoF'!H25*2), År_etter_ferdigstillelse, Faktorer!$Z$7:$Z$58))*('Tillegg- Inndata GoF'!L25*0.5+'Tillegg- Inndata GoF'!M25*0.8)*_xlfn.XLOOKUP(IF('Tillegg- Inndata GoF'!I25&lt;2,'Tillegg- Inndata GoF'!H25,'Tillegg- Inndata GoF'!H25*2), År_etter_ferdigstillelse,  IF(LEFT('Tillegg- Inndata GoF'!B25, 2)= 49, f_tid_x_f_tek_d_0_037, f_tid_x_f_tek_d_0_01)))</f>
        <v>0</v>
      </c>
      <c r="AC27" s="335">
        <f>IF(('Tillegg- Inndata GoF'!G25) = 0, 0,(('Tillegg- Inndata GoF'!G25)*((AG27+AI27)*Transport_utslipp_til_avfallshånderting_per_kg)+('Tillegg- Inndata GoF'!Z25*'ZERO-B Beregning'!D127)*IF('ZERO-B Beregning'!F128=0,'ZERO-B Beregning'!D128,'ZERO-B Beregning'!F128))*_xlfn.XLOOKUP(51, År_etter_ferdigstillelse, f_tid_x_f_tek_d_0_01))</f>
        <v>0</v>
      </c>
      <c r="AD27" s="337">
        <f>IF(('Tillegg- Inndata GoF'!G25) = 0, 0,1.833*('Tillegg- Inndata GoF'!G25*('Tillegg- Inndata GoF'!L25*0.5+'Tillegg- Inndata GoF'!M25*0.8)*AG27*_xlfn.XLOOKUP(51, År_etter_ferdigstillelse,  f_tid_x_f_tek_d_0_01)))</f>
        <v>0</v>
      </c>
      <c r="AE27" s="333" cm="1">
        <f t="array" ref="AE27">IF(('Tillegg- Inndata GoF'!G25) = 0, 0,-0.8*('Tillegg- Inndata GoF'!G25)*AH27*('Tillegg- Inndata GoF'!E25/'Tillegg- Inndata GoF'!G25)*_xlfn.XLOOKUP(51, År_etter_ferdigstillelse,  IF(LEFT('Tillegg- Inndata GoF'!B25, 2)= 49, f_tid_x_f_tek_d_0_037, f_tid_x_f_tek_d_0_01)))</f>
        <v>0</v>
      </c>
      <c r="AF27" s="338" cm="1">
        <f t="array" ref="AF27">IF(('Tillegg- Inndata GoF'!G25) = 0, 0,-0.1*('Tillegg- Inndata GoF'!G25)*AI27*('Tillegg- Inndata GoF'!E25/'Tillegg- Inndata GoF'!G25)*_xlfn.XLOOKUP(51, År_etter_ferdigstillelse,  IF(LEFT('Tillegg- Inndata GoF'!B25, 2)= 49, f_tid_x_f_tek_d_0_037, f_tid_x_f_tek_d_0_01)))</f>
        <v>0</v>
      </c>
      <c r="AG27" s="572">
        <f>IF(('Tillegg- Inndata GoF'!G25) = 0, 0,'Tillegg- Inndata GoF'!X25*Faktorer!$Z$58)</f>
        <v>0</v>
      </c>
      <c r="AH27" s="573">
        <f>IF(('Tillegg- Inndata GoF'!G25) = 0, 0,'Tillegg- Inndata GoF'!Z25+('Tillegg- Inndata GoF'!X25+'Tillegg- Inndata GoF'!Y25)*(1-Faktorer!$Z$58)*0.5)</f>
        <v>0</v>
      </c>
      <c r="AI27" s="574">
        <f>IF(('Tillegg- Inndata GoF'!G25) = 0, 0,'Tillegg- Inndata GoF'!AA25+('Tillegg- Inndata GoF'!X25+'Tillegg- Inndata GoF'!Y25)*(1-Faktorer!$Z$58)*0.5)</f>
        <v>0</v>
      </c>
      <c r="AK27" s="90">
        <f t="shared" si="1"/>
        <v>0</v>
      </c>
      <c r="AL27" s="91">
        <f>'Tillegg- Res. detaljert GoF'!N27</f>
        <v>0</v>
      </c>
      <c r="AM27" s="91" t="str">
        <f>IF(F27=0,"",('Tillegg- Inndata GoF'!E27+'Tillegg- Inndata GoF'!F27)*ROUNDDOWN('Tillegg- Inndata GoF'!I27,0)*(1+'Tillegg- Inndata GoF'!K27))</f>
        <v/>
      </c>
    </row>
    <row r="28" spans="2:41">
      <c r="B28" s="327">
        <f>'Tillegg- Inndata GoF'!B26</f>
        <v>0</v>
      </c>
      <c r="C28" s="328">
        <f>'Tillegg- Inndata GoF'!C26</f>
        <v>0</v>
      </c>
      <c r="D28" s="329">
        <f>'Tillegg- Inndata GoF'!D26</f>
        <v>0</v>
      </c>
      <c r="E28" s="661" cm="1">
        <f t="array" ref="E28">SUM(IFERROR(F28:AF28,0))</f>
        <v>0</v>
      </c>
      <c r="F28" s="330">
        <f>'Tillegg- Inndata GoF'!E26</f>
        <v>0</v>
      </c>
      <c r="G28" s="330">
        <f>IF('Tillegg- Inndata GoF'!AB26="Ja", -0.8*'Tillegg- Res. detaljert GoF'!$F28, 0)</f>
        <v>0</v>
      </c>
      <c r="H28" s="330">
        <f>IF('Tillegg- Inndata GoF'!AC26="Ja", -0.4*'Tillegg- Res. detaljert GoF'!$F28, 0)</f>
        <v>0</v>
      </c>
      <c r="I28" s="330">
        <f>IF('Tillegg- Inndata GoF'!AD26="Ja", -1*'Tillegg- Res. detaljert GoF'!$F28, 0)</f>
        <v>0</v>
      </c>
      <c r="J28" s="330">
        <f>'Tillegg- Inndata GoF'!O26*'Tillegg- Inndata GoF'!P26</f>
        <v>0</v>
      </c>
      <c r="K28" s="330">
        <f>MAX(-0.75*(SUM('Tillegg- Res. detaljert GoF'!F28:J28)),-'Tillegg- Inndata GoF'!O26*'Tillegg- Inndata GoF'!Q26)</f>
        <v>0</v>
      </c>
      <c r="L28" s="330">
        <f>'Tillegg- Inndata GoF'!S26*'Tillegg- Inndata GoF'!T26</f>
        <v>0</v>
      </c>
      <c r="M28" s="330">
        <f>MAX(-0.75*(SUM('Tillegg- Res. detaljert GoF'!F28:I28,L28)),-'Tillegg- Inndata GoF'!S26*'Tillegg- Inndata GoF'!U26)</f>
        <v>0</v>
      </c>
      <c r="N28" s="331">
        <f>'Tillegg- Inndata GoF'!F26</f>
        <v>0</v>
      </c>
      <c r="O28" s="330">
        <f>'Tillegg- Inndata GoF'!O26*'Tillegg- Inndata GoF'!R26</f>
        <v>0</v>
      </c>
      <c r="P28" s="332">
        <f>'Tillegg- Inndata GoF'!S26*'Tillegg- Inndata GoF'!V26</f>
        <v>0</v>
      </c>
      <c r="Q28" s="333">
        <f>SUM(F28:J28,L28)*'Tillegg- Inndata GoF'!K26</f>
        <v>0</v>
      </c>
      <c r="R28" s="333">
        <f>(K28+M28)*'Tillegg- Inndata GoF'!K26</f>
        <v>0</v>
      </c>
      <c r="S28" s="333">
        <f>SUM(N28:P28)*'Tillegg- Inndata GoF'!K26</f>
        <v>0</v>
      </c>
      <c r="T28" s="334">
        <f>('Tillegg- Inndata GoF'!G26+'Tillegg- Inndata GoF'!O26+'Tillegg- Inndata GoF'!S26)*'Tillegg- Inndata GoF'!K26*Transport_utslipp_til_avfallshånderting_per_kg</f>
        <v>0</v>
      </c>
      <c r="U28" s="330">
        <f>IF('Tillegg- Inndata GoF'!E26 = 0, 0, 1.833*'Tillegg- Inndata GoF'!X26*'Tillegg- Inndata GoF'!K26*('Tillegg- Inndata GoF'!G26*('Tillegg- Inndata GoF'!L26*0.5+'Tillegg- Inndata GoF'!M26*0.8) + (12/44)*('Tillegg- Inndata GoF'!O26*'Tillegg- Inndata GoF'!Q26+'Tillegg- Inndata GoF'!S26*'Tillegg- Inndata GoF'!U26)))</f>
        <v>0</v>
      </c>
      <c r="V28" s="335">
        <f>IF('Tillegg- Inndata GoF'!G26 = 0, 0,  MAX(-SUM(F28:J28,L28)*'Tillegg- Inndata GoF'!L26, -0.114*IF('Tillegg- Inndata GoF'!H26 &gt; 49, _xlfn.XLOOKUP(49, År_etter_ferdigstillelse, karbon_opptak_faktor), _xlfn.XLOOKUP('Tillegg- Inndata GoF'!H26, År_etter_ferdigstillelse, karbon_opptak_faktor))*'Tillegg- Inndata GoF'!G26*'Tillegg- Inndata GoF'!L26*0.5))</f>
        <v>0</v>
      </c>
      <c r="W28" s="333">
        <f>IF('Tillegg- Inndata GoF'!G26=0,0,IF('Tillegg- Inndata GoF'!H26&gt;49,-0.064*'Tillegg- Inndata GoF'!G26*'Tillegg- Inndata GoF'!N26,-0.037*'Tillegg- Inndata GoF'!J26*'Tillegg- Inndata GoF'!N26))</f>
        <v>0</v>
      </c>
      <c r="X28" s="331" cm="1">
        <f t="array" ref="X28">IF(SUM(F28:J28,L28)=0, 0, SUM(F28:J28,L28)*(1+'Tillegg-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Y28" s="330" cm="1">
        <f t="array" ref="Y28">IF(X28=0, 0, SUM(K28,M28)*(1+'Tillegg-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Z28" s="336" cm="1">
        <f t="array" ref="Z28">IF(X28=0, 0, SUM(N28:P28)*(1+'Tillegg-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AA28" s="336" cm="1">
        <f t="array" ref="AA28">IF(X28=0, 0, ('Tillegg- Inndata GoF'!G26+'Tillegg- Inndata GoF'!O26+'Tillegg- Inndata GoF'!S26)*(1+'Tillegg- Inndata GoF'!K26)*Transport_utslipp_til_avfallshånderting_per_kg*IF('Tillegg- Inndata GoF'!H26&gt;50, 0, _xlfn.XLOOKUP('Tillegg- Inndata GoF'!H26, År_etter_ferdigstillelse, IF(VALUE(LEFT('Tillegg- Inndata GoF'!B26, 2))= 49, f_tid_x_f_tek_d_0_037_kumulativ, f_tid_x_f_tek_d_0_01_kumulativ))))</f>
        <v>0</v>
      </c>
      <c r="AB28" s="334" cm="1">
        <f t="array" ref="AB28">IF(X28=0, 0,1.833*'Tillegg- Inndata GoF'!J26*('Tillegg- Inndata GoF'!X26*_xlfn.XLOOKUP(IF('Tillegg- Inndata GoF'!I26&lt;2,'Tillegg- Inndata GoF'!H26,'Tillegg- Inndata GoF'!H26*2), År_etter_ferdigstillelse, Faktorer!$Z$7:$Z$58))*('Tillegg- Inndata GoF'!L26*0.5+'Tillegg- Inndata GoF'!M26*0.8)*_xlfn.XLOOKUP(IF('Tillegg- Inndata GoF'!I26&lt;2,'Tillegg- Inndata GoF'!H26,'Tillegg- Inndata GoF'!H26*2), År_etter_ferdigstillelse,  IF(LEFT('Tillegg- Inndata GoF'!B26, 2)= 49, f_tid_x_f_tek_d_0_037, f_tid_x_f_tek_d_0_01)))</f>
        <v>0</v>
      </c>
      <c r="AC28" s="335">
        <f>IF(('Tillegg- Inndata GoF'!G26) = 0, 0,(('Tillegg- Inndata GoF'!G26)*((AG28+AI28)*Transport_utslipp_til_avfallshånderting_per_kg)+('Tillegg- Inndata GoF'!Z26*'ZERO-B Beregning'!D128)*IF('ZERO-B Beregning'!F129=0,'ZERO-B Beregning'!D129,'ZERO-B Beregning'!F129))*_xlfn.XLOOKUP(51, År_etter_ferdigstillelse, f_tid_x_f_tek_d_0_01))</f>
        <v>0</v>
      </c>
      <c r="AD28" s="337">
        <f>IF(('Tillegg- Inndata GoF'!G26) = 0, 0,1.833*('Tillegg- Inndata GoF'!G26*('Tillegg- Inndata GoF'!L26*0.5+'Tillegg- Inndata GoF'!M26*0.8)*AG28*_xlfn.XLOOKUP(51, År_etter_ferdigstillelse,  f_tid_x_f_tek_d_0_01)))</f>
        <v>0</v>
      </c>
      <c r="AE28" s="333" cm="1">
        <f t="array" ref="AE28">IF(('Tillegg- Inndata GoF'!G26) = 0, 0,-0.8*('Tillegg- Inndata GoF'!G26)*AH28*('Tillegg- Inndata GoF'!E26/'Tillegg- Inndata GoF'!G26)*_xlfn.XLOOKUP(51, År_etter_ferdigstillelse,  IF(LEFT('Tillegg- Inndata GoF'!B26, 2)= 49, f_tid_x_f_tek_d_0_037, f_tid_x_f_tek_d_0_01)))</f>
        <v>0</v>
      </c>
      <c r="AF28" s="338" cm="1">
        <f t="array" ref="AF28">IF(('Tillegg- Inndata GoF'!G26) = 0, 0,-0.1*('Tillegg- Inndata GoF'!G26)*AI28*('Tillegg- Inndata GoF'!E26/'Tillegg- Inndata GoF'!G26)*_xlfn.XLOOKUP(51, År_etter_ferdigstillelse,  IF(LEFT('Tillegg- Inndata GoF'!B26, 2)= 49, f_tid_x_f_tek_d_0_037, f_tid_x_f_tek_d_0_01)))</f>
        <v>0</v>
      </c>
      <c r="AG28" s="572">
        <f>IF(('Tillegg- Inndata GoF'!G26) = 0, 0,'Tillegg- Inndata GoF'!X26*Faktorer!$Z$58)</f>
        <v>0</v>
      </c>
      <c r="AH28" s="573">
        <f>IF(('Tillegg- Inndata GoF'!G26) = 0, 0,'Tillegg- Inndata GoF'!Z26+('Tillegg- Inndata GoF'!X26+'Tillegg- Inndata GoF'!Y26)*(1-Faktorer!$Z$58)*0.5)</f>
        <v>0</v>
      </c>
      <c r="AI28" s="574">
        <f>IF(('Tillegg- Inndata GoF'!G26) = 0, 0,'Tillegg- Inndata GoF'!AA26+('Tillegg- Inndata GoF'!X26+'Tillegg- Inndata GoF'!Y26)*(1-Faktorer!$Z$58)*0.5)</f>
        <v>0</v>
      </c>
      <c r="AK28" s="90">
        <f t="shared" si="1"/>
        <v>0</v>
      </c>
      <c r="AL28" s="91">
        <f>'Tillegg- Res. detaljert GoF'!N28</f>
        <v>0</v>
      </c>
      <c r="AM28" s="91" t="str">
        <f>IF(F28=0,"",('Tillegg- Inndata GoF'!E28+'Tillegg- Inndata GoF'!F28)*ROUNDDOWN('Tillegg- Inndata GoF'!I28,0)*(1+'Tillegg- Inndata GoF'!K28))</f>
        <v/>
      </c>
    </row>
    <row r="29" spans="2:41">
      <c r="B29" s="327">
        <f>'Tillegg- Inndata GoF'!B27</f>
        <v>0</v>
      </c>
      <c r="C29" s="328">
        <f>'Tillegg- Inndata GoF'!C27</f>
        <v>0</v>
      </c>
      <c r="D29" s="329">
        <f>'Tillegg- Inndata GoF'!D27</f>
        <v>0</v>
      </c>
      <c r="E29" s="661" cm="1">
        <f t="array" ref="E29">SUM(IFERROR(F29:AF29,0))</f>
        <v>0</v>
      </c>
      <c r="F29" s="330">
        <f>'Tillegg- Inndata GoF'!E27</f>
        <v>0</v>
      </c>
      <c r="G29" s="330">
        <f>IF('Tillegg- Inndata GoF'!AB27="Ja", -0.8*'Tillegg- Res. detaljert GoF'!$F29, 0)</f>
        <v>0</v>
      </c>
      <c r="H29" s="330">
        <f>IF('Tillegg- Inndata GoF'!AC27="Ja", -0.4*'Tillegg- Res. detaljert GoF'!$F29, 0)</f>
        <v>0</v>
      </c>
      <c r="I29" s="330">
        <f>IF('Tillegg- Inndata GoF'!AD27="Ja", -1*'Tillegg- Res. detaljert GoF'!$F29, 0)</f>
        <v>0</v>
      </c>
      <c r="J29" s="330">
        <f>'Tillegg- Inndata GoF'!O27*'Tillegg- Inndata GoF'!P27</f>
        <v>0</v>
      </c>
      <c r="K29" s="330">
        <f>MAX(-0.75*(SUM('Tillegg- Res. detaljert GoF'!F29:J29)),-'Tillegg- Inndata GoF'!O27*'Tillegg- Inndata GoF'!Q27)</f>
        <v>0</v>
      </c>
      <c r="L29" s="330">
        <f>'Tillegg- Inndata GoF'!S27*'Tillegg- Inndata GoF'!T27</f>
        <v>0</v>
      </c>
      <c r="M29" s="330">
        <f>MAX(-0.75*(SUM('Tillegg- Res. detaljert GoF'!F29:I29,L29)),-'Tillegg- Inndata GoF'!S27*'Tillegg- Inndata GoF'!U27)</f>
        <v>0</v>
      </c>
      <c r="N29" s="331">
        <f>'Tillegg- Inndata GoF'!F27</f>
        <v>0</v>
      </c>
      <c r="O29" s="330">
        <f>'Tillegg- Inndata GoF'!O27*'Tillegg- Inndata GoF'!R27</f>
        <v>0</v>
      </c>
      <c r="P29" s="332">
        <f>'Tillegg- Inndata GoF'!S27*'Tillegg- Inndata GoF'!V27</f>
        <v>0</v>
      </c>
      <c r="Q29" s="333">
        <f>SUM(F29:J29,L29)*'Tillegg- Inndata GoF'!K27</f>
        <v>0</v>
      </c>
      <c r="R29" s="333">
        <f>(K29+M29)*'Tillegg- Inndata GoF'!K27</f>
        <v>0</v>
      </c>
      <c r="S29" s="333">
        <f>SUM(N29:P29)*'Tillegg- Inndata GoF'!K27</f>
        <v>0</v>
      </c>
      <c r="T29" s="334">
        <f>('Tillegg- Inndata GoF'!G27+'Tillegg- Inndata GoF'!O27+'Tillegg- Inndata GoF'!S27)*'Tillegg- Inndata GoF'!K27*Transport_utslipp_til_avfallshånderting_per_kg</f>
        <v>0</v>
      </c>
      <c r="U29" s="330">
        <f>IF('Tillegg- Inndata GoF'!E27 = 0, 0, 1.833*'Tillegg- Inndata GoF'!X27*'Tillegg- Inndata GoF'!K27*('Tillegg- Inndata GoF'!G27*('Tillegg- Inndata GoF'!L27*0.5+'Tillegg- Inndata GoF'!M27*0.8) + (12/44)*('Tillegg- Inndata GoF'!O27*'Tillegg- Inndata GoF'!Q27+'Tillegg- Inndata GoF'!S27*'Tillegg- Inndata GoF'!U27)))</f>
        <v>0</v>
      </c>
      <c r="V29" s="335">
        <f>IF('Tillegg- Inndata GoF'!G27 = 0, 0,  MAX(-SUM(F29:J29,L29)*'Tillegg- Inndata GoF'!L27, -0.114*IF('Tillegg- Inndata GoF'!H27 &gt; 49, _xlfn.XLOOKUP(49, År_etter_ferdigstillelse, karbon_opptak_faktor), _xlfn.XLOOKUP('Tillegg- Inndata GoF'!H27, År_etter_ferdigstillelse, karbon_opptak_faktor))*'Tillegg- Inndata GoF'!G27*'Tillegg- Inndata GoF'!L27*0.5))</f>
        <v>0</v>
      </c>
      <c r="W29" s="333">
        <f>IF('Tillegg- Inndata GoF'!G27=0,0,IF('Tillegg- Inndata GoF'!H27&gt;49,-0.064*'Tillegg- Inndata GoF'!G27*'Tillegg- Inndata GoF'!N27,-0.037*'Tillegg- Inndata GoF'!J27*'Tillegg- Inndata GoF'!N27))</f>
        <v>0</v>
      </c>
      <c r="X29" s="331" cm="1">
        <f t="array" ref="X29">IF(SUM(F29:J29,L29)=0, 0, SUM(F29:J29,L29)*(1+'Tillegg-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Y29" s="330" cm="1">
        <f t="array" ref="Y29">IF(X29=0, 0, SUM(K29,M29)*(1+'Tillegg-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Z29" s="336" cm="1">
        <f t="array" ref="Z29">IF(X29=0, 0, SUM(N29:P29)*(1+'Tillegg-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AA29" s="336" cm="1">
        <f t="array" ref="AA29">IF(X29=0, 0, ('Tillegg- Inndata GoF'!G27+'Tillegg- Inndata GoF'!O27+'Tillegg- Inndata GoF'!S27)*(1+'Tillegg- Inndata GoF'!K27)*Transport_utslipp_til_avfallshånderting_per_kg*IF('Tillegg- Inndata GoF'!H27&gt;50, 0, _xlfn.XLOOKUP('Tillegg- Inndata GoF'!H27, År_etter_ferdigstillelse, IF(VALUE(LEFT('Tillegg- Inndata GoF'!B27, 2))= 49, f_tid_x_f_tek_d_0_037_kumulativ, f_tid_x_f_tek_d_0_01_kumulativ))))</f>
        <v>0</v>
      </c>
      <c r="AB29" s="334" cm="1">
        <f t="array" ref="AB29">IF(X29=0, 0,1.833*'Tillegg- Inndata GoF'!J27*('Tillegg- Inndata GoF'!X27*_xlfn.XLOOKUP(IF('Tillegg- Inndata GoF'!I27&lt;2,'Tillegg- Inndata GoF'!H27,'Tillegg- Inndata GoF'!H27*2), År_etter_ferdigstillelse, Faktorer!$Z$7:$Z$58))*('Tillegg- Inndata GoF'!L27*0.5+'Tillegg- Inndata GoF'!M27*0.8)*_xlfn.XLOOKUP(IF('Tillegg- Inndata GoF'!I27&lt;2,'Tillegg- Inndata GoF'!H27,'Tillegg- Inndata GoF'!H27*2), År_etter_ferdigstillelse,  IF(LEFT('Tillegg- Inndata GoF'!B27, 2)= 49, f_tid_x_f_tek_d_0_037, f_tid_x_f_tek_d_0_01)))</f>
        <v>0</v>
      </c>
      <c r="AC29" s="335">
        <f>IF(('Tillegg- Inndata GoF'!G27) = 0, 0,(('Tillegg- Inndata GoF'!G27)*((AG29+AI29)*Transport_utslipp_til_avfallshånderting_per_kg)+('Tillegg- Inndata GoF'!Z27*'ZERO-B Beregning'!D129)*IF('ZERO-B Beregning'!F130=0,'ZERO-B Beregning'!D130,'ZERO-B Beregning'!F130))*_xlfn.XLOOKUP(51, År_etter_ferdigstillelse, f_tid_x_f_tek_d_0_01))</f>
        <v>0</v>
      </c>
      <c r="AD29" s="337">
        <f>IF(('Tillegg- Inndata GoF'!G27) = 0, 0,1.833*('Tillegg- Inndata GoF'!G27*('Tillegg- Inndata GoF'!L27*0.5+'Tillegg- Inndata GoF'!M27*0.8)*AG29*_xlfn.XLOOKUP(51, År_etter_ferdigstillelse,  f_tid_x_f_tek_d_0_01)))</f>
        <v>0</v>
      </c>
      <c r="AE29" s="333" cm="1">
        <f t="array" ref="AE29">IF(('Tillegg- Inndata GoF'!G27) = 0, 0,-0.8*('Tillegg- Inndata GoF'!G27)*AH29*('Tillegg- Inndata GoF'!E27/'Tillegg- Inndata GoF'!G27)*_xlfn.XLOOKUP(51, År_etter_ferdigstillelse,  IF(LEFT('Tillegg- Inndata GoF'!B27, 2)= 49, f_tid_x_f_tek_d_0_037, f_tid_x_f_tek_d_0_01)))</f>
        <v>0</v>
      </c>
      <c r="AF29" s="338" cm="1">
        <f t="array" ref="AF29">IF(('Tillegg- Inndata GoF'!G27) = 0, 0,-0.1*('Tillegg- Inndata GoF'!G27)*AI29*('Tillegg- Inndata GoF'!E27/'Tillegg- Inndata GoF'!G27)*_xlfn.XLOOKUP(51, År_etter_ferdigstillelse,  IF(LEFT('Tillegg- Inndata GoF'!B27, 2)= 49, f_tid_x_f_tek_d_0_037, f_tid_x_f_tek_d_0_01)))</f>
        <v>0</v>
      </c>
      <c r="AG29" s="572">
        <f>IF(('Tillegg- Inndata GoF'!G27) = 0, 0,'Tillegg- Inndata GoF'!X27*Faktorer!$Z$58)</f>
        <v>0</v>
      </c>
      <c r="AH29" s="573">
        <f>IF(('Tillegg- Inndata GoF'!G27) = 0, 0,'Tillegg- Inndata GoF'!Z27+('Tillegg- Inndata GoF'!X27+'Tillegg- Inndata GoF'!Y27)*(1-Faktorer!$Z$58)*0.5)</f>
        <v>0</v>
      </c>
      <c r="AI29" s="574">
        <f>IF(('Tillegg- Inndata GoF'!G27) = 0, 0,'Tillegg- Inndata GoF'!AA27+('Tillegg- Inndata GoF'!X27+'Tillegg- Inndata GoF'!Y27)*(1-Faktorer!$Z$58)*0.5)</f>
        <v>0</v>
      </c>
      <c r="AK29" s="90">
        <f t="shared" si="1"/>
        <v>0</v>
      </c>
      <c r="AL29" s="91">
        <f>'Tillegg- Res. detaljert GoF'!N29</f>
        <v>0</v>
      </c>
      <c r="AM29" s="91" t="str">
        <f>IF(F29=0,"",('Tillegg- Inndata GoF'!E29+'Tillegg- Inndata GoF'!F29)*ROUNDDOWN('Tillegg- Inndata GoF'!I29,0)*(1+'Tillegg- Inndata GoF'!K29))</f>
        <v/>
      </c>
    </row>
    <row r="30" spans="2:41">
      <c r="B30" s="327">
        <f>'Tillegg- Inndata GoF'!B28</f>
        <v>0</v>
      </c>
      <c r="C30" s="328">
        <f>'Tillegg- Inndata GoF'!C28</f>
        <v>0</v>
      </c>
      <c r="D30" s="329">
        <f>'Tillegg- Inndata GoF'!D28</f>
        <v>0</v>
      </c>
      <c r="E30" s="661" cm="1">
        <f t="array" ref="E30">SUM(IFERROR(F30:AF30,0))</f>
        <v>0</v>
      </c>
      <c r="F30" s="330">
        <f>'Tillegg- Inndata GoF'!E28</f>
        <v>0</v>
      </c>
      <c r="G30" s="330">
        <f>IF('Tillegg- Inndata GoF'!AB28="Ja", -0.8*'Tillegg- Res. detaljert GoF'!$F30, 0)</f>
        <v>0</v>
      </c>
      <c r="H30" s="330">
        <f>IF('Tillegg- Inndata GoF'!AC28="Ja", -0.4*'Tillegg- Res. detaljert GoF'!$F30, 0)</f>
        <v>0</v>
      </c>
      <c r="I30" s="330">
        <f>IF('Tillegg- Inndata GoF'!AD28="Ja", -1*'Tillegg- Res. detaljert GoF'!$F30, 0)</f>
        <v>0</v>
      </c>
      <c r="J30" s="330">
        <f>'Tillegg- Inndata GoF'!O28*'Tillegg- Inndata GoF'!P28</f>
        <v>0</v>
      </c>
      <c r="K30" s="330">
        <f>MAX(-0.75*(SUM('Tillegg- Res. detaljert GoF'!F30:J30)),-'Tillegg- Inndata GoF'!O28*'Tillegg- Inndata GoF'!Q28)</f>
        <v>0</v>
      </c>
      <c r="L30" s="330">
        <f>'Tillegg- Inndata GoF'!S28*'Tillegg- Inndata GoF'!T28</f>
        <v>0</v>
      </c>
      <c r="M30" s="330">
        <f>MAX(-0.75*(SUM('Tillegg- Res. detaljert GoF'!F30:I30,L30)),-'Tillegg- Inndata GoF'!S28*'Tillegg- Inndata GoF'!U28)</f>
        <v>0</v>
      </c>
      <c r="N30" s="331">
        <f>'Tillegg- Inndata GoF'!F28</f>
        <v>0</v>
      </c>
      <c r="O30" s="330">
        <f>'Tillegg- Inndata GoF'!O28*'Tillegg- Inndata GoF'!R28</f>
        <v>0</v>
      </c>
      <c r="P30" s="332">
        <f>'Tillegg- Inndata GoF'!S28*'Tillegg- Inndata GoF'!V28</f>
        <v>0</v>
      </c>
      <c r="Q30" s="333">
        <f>SUM(F30:J30,L30)*'Tillegg- Inndata GoF'!K28</f>
        <v>0</v>
      </c>
      <c r="R30" s="333">
        <f>(K30+M30)*'Tillegg- Inndata GoF'!K28</f>
        <v>0</v>
      </c>
      <c r="S30" s="333">
        <f>SUM(N30:P30)*'Tillegg- Inndata GoF'!K28</f>
        <v>0</v>
      </c>
      <c r="T30" s="334">
        <f>('Tillegg- Inndata GoF'!G28+'Tillegg- Inndata GoF'!O28+'Tillegg- Inndata GoF'!S28)*'Tillegg- Inndata GoF'!K28*Transport_utslipp_til_avfallshånderting_per_kg</f>
        <v>0</v>
      </c>
      <c r="U30" s="330">
        <f>IF('Tillegg- Inndata GoF'!E28 = 0, 0, 1.833*'Tillegg- Inndata GoF'!X28*'Tillegg- Inndata GoF'!K28*('Tillegg- Inndata GoF'!G28*('Tillegg- Inndata GoF'!L28*0.5+'Tillegg- Inndata GoF'!M28*0.8) + (12/44)*('Tillegg- Inndata GoF'!O28*'Tillegg- Inndata GoF'!Q28+'Tillegg- Inndata GoF'!S28*'Tillegg- Inndata GoF'!U28)))</f>
        <v>0</v>
      </c>
      <c r="V30" s="335">
        <f>IF('Tillegg- Inndata GoF'!G28 = 0, 0,  MAX(-SUM(F30:J30,L30)*'Tillegg- Inndata GoF'!L28, -0.114*IF('Tillegg- Inndata GoF'!H28 &gt; 49, _xlfn.XLOOKUP(49, År_etter_ferdigstillelse, karbon_opptak_faktor), _xlfn.XLOOKUP('Tillegg- Inndata GoF'!H28, År_etter_ferdigstillelse, karbon_opptak_faktor))*'Tillegg- Inndata GoF'!G28*'Tillegg- Inndata GoF'!L28*0.5))</f>
        <v>0</v>
      </c>
      <c r="W30" s="333">
        <f>IF('Tillegg- Inndata GoF'!G28=0,0,IF('Tillegg- Inndata GoF'!H28&gt;49,-0.064*'Tillegg- Inndata GoF'!G28*'Tillegg- Inndata GoF'!N28,-0.037*'Tillegg- Inndata GoF'!J28*'Tillegg- Inndata GoF'!N28))</f>
        <v>0</v>
      </c>
      <c r="X30" s="331" cm="1">
        <f t="array" ref="X30">IF(SUM(F30:J30,L30)=0, 0, SUM(F30:J30,L30)*(1+'Tillegg-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Y30" s="330" cm="1">
        <f t="array" ref="Y30">IF(X30=0, 0, SUM(K30,M30)*(1+'Tillegg-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Z30" s="336" cm="1">
        <f t="array" ref="Z30">IF(X30=0, 0, SUM(N30:P30)*(1+'Tillegg-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AA30" s="336" cm="1">
        <f t="array" ref="AA30">IF(X30=0, 0, ('Tillegg- Inndata GoF'!G28+'Tillegg- Inndata GoF'!O28+'Tillegg- Inndata GoF'!S28)*(1+'Tillegg- Inndata GoF'!K28)*Transport_utslipp_til_avfallshånderting_per_kg*IF('Tillegg- Inndata GoF'!H28&gt;50, 0, _xlfn.XLOOKUP('Tillegg- Inndata GoF'!H28, År_etter_ferdigstillelse, IF(VALUE(LEFT('Tillegg- Inndata GoF'!B28, 2))= 49, f_tid_x_f_tek_d_0_037_kumulativ, f_tid_x_f_tek_d_0_01_kumulativ))))</f>
        <v>0</v>
      </c>
      <c r="AB30" s="334" cm="1">
        <f t="array" ref="AB30">IF(X30=0, 0,1.833*'Tillegg- Inndata GoF'!J28*('Tillegg- Inndata GoF'!X28*_xlfn.XLOOKUP(IF('Tillegg- Inndata GoF'!I28&lt;2,'Tillegg- Inndata GoF'!H28,'Tillegg- Inndata GoF'!H28*2), År_etter_ferdigstillelse, Faktorer!$Z$7:$Z$58))*('Tillegg- Inndata GoF'!L28*0.5+'Tillegg- Inndata GoF'!M28*0.8)*_xlfn.XLOOKUP(IF('Tillegg- Inndata GoF'!I28&lt;2,'Tillegg- Inndata GoF'!H28,'Tillegg- Inndata GoF'!H28*2), År_etter_ferdigstillelse,  IF(LEFT('Tillegg- Inndata GoF'!B28, 2)= 49, f_tid_x_f_tek_d_0_037, f_tid_x_f_tek_d_0_01)))</f>
        <v>0</v>
      </c>
      <c r="AC30" s="335">
        <f>IF(('Tillegg- Inndata GoF'!G28) = 0, 0,(('Tillegg- Inndata GoF'!G28)*((AG30+AI30)*Transport_utslipp_til_avfallshånderting_per_kg)+('Tillegg- Inndata GoF'!Z28*'ZERO-B Beregning'!D130)*IF('ZERO-B Beregning'!F131=0,'ZERO-B Beregning'!D131,'ZERO-B Beregning'!F131))*_xlfn.XLOOKUP(51, År_etter_ferdigstillelse, f_tid_x_f_tek_d_0_01))</f>
        <v>0</v>
      </c>
      <c r="AD30" s="337">
        <f>IF(('Tillegg- Inndata GoF'!G28) = 0, 0,1.833*('Tillegg- Inndata GoF'!G28*('Tillegg- Inndata GoF'!L28*0.5+'Tillegg- Inndata GoF'!M28*0.8)*AG30*_xlfn.XLOOKUP(51, År_etter_ferdigstillelse,  f_tid_x_f_tek_d_0_01)))</f>
        <v>0</v>
      </c>
      <c r="AE30" s="333" cm="1">
        <f t="array" ref="AE30">IF(('Tillegg- Inndata GoF'!G28) = 0, 0,-0.8*('Tillegg- Inndata GoF'!G28)*AH30*('Tillegg- Inndata GoF'!E28/'Tillegg- Inndata GoF'!G28)*_xlfn.XLOOKUP(51, År_etter_ferdigstillelse,  IF(LEFT('Tillegg- Inndata GoF'!B28, 2)= 49, f_tid_x_f_tek_d_0_037, f_tid_x_f_tek_d_0_01)))</f>
        <v>0</v>
      </c>
      <c r="AF30" s="338" cm="1">
        <f t="array" ref="AF30">IF(('Tillegg- Inndata GoF'!G28) = 0, 0,-0.1*('Tillegg- Inndata GoF'!G28)*AI30*('Tillegg- Inndata GoF'!E28/'Tillegg- Inndata GoF'!G28)*_xlfn.XLOOKUP(51, År_etter_ferdigstillelse,  IF(LEFT('Tillegg- Inndata GoF'!B28, 2)= 49, f_tid_x_f_tek_d_0_037, f_tid_x_f_tek_d_0_01)))</f>
        <v>0</v>
      </c>
      <c r="AG30" s="572">
        <f>IF(('Tillegg- Inndata GoF'!G28) = 0, 0,'Tillegg- Inndata GoF'!X28*Faktorer!$Z$58)</f>
        <v>0</v>
      </c>
      <c r="AH30" s="573">
        <f>IF(('Tillegg- Inndata GoF'!G28) = 0, 0,'Tillegg- Inndata GoF'!Z28+('Tillegg- Inndata GoF'!X28+'Tillegg- Inndata GoF'!Y28)*(1-Faktorer!$Z$58)*0.5)</f>
        <v>0</v>
      </c>
      <c r="AI30" s="574">
        <f>IF(('Tillegg- Inndata GoF'!G28) = 0, 0,'Tillegg- Inndata GoF'!AA28+('Tillegg- Inndata GoF'!X28+'Tillegg- Inndata GoF'!Y28)*(1-Faktorer!$Z$58)*0.5)</f>
        <v>0</v>
      </c>
      <c r="AK30" s="90">
        <f t="shared" si="1"/>
        <v>0</v>
      </c>
      <c r="AL30" s="91">
        <f>'Tillegg- Res. detaljert GoF'!N30</f>
        <v>0</v>
      </c>
      <c r="AM30" s="91" t="str">
        <f>IF(F30=0,"",('Tillegg- Inndata GoF'!E30+'Tillegg- Inndata GoF'!F30)*ROUNDDOWN('Tillegg- Inndata GoF'!I30,0)*(1+'Tillegg- Inndata GoF'!K30))</f>
        <v/>
      </c>
    </row>
    <row r="31" spans="2:41">
      <c r="B31" s="327">
        <f>'Tillegg- Inndata GoF'!B29</f>
        <v>0</v>
      </c>
      <c r="C31" s="328">
        <f>'Tillegg- Inndata GoF'!C29</f>
        <v>0</v>
      </c>
      <c r="D31" s="329">
        <f>'Tillegg- Inndata GoF'!D29</f>
        <v>0</v>
      </c>
      <c r="E31" s="661" cm="1">
        <f t="array" ref="E31">SUM(IFERROR(F31:AF31,0))</f>
        <v>0</v>
      </c>
      <c r="F31" s="330">
        <f>'Tillegg- Inndata GoF'!E29</f>
        <v>0</v>
      </c>
      <c r="G31" s="330">
        <f>IF('Tillegg- Inndata GoF'!AB29="Ja", -0.8*'Tillegg- Res. detaljert GoF'!$F31, 0)</f>
        <v>0</v>
      </c>
      <c r="H31" s="330">
        <f>IF('Tillegg- Inndata GoF'!AC29="Ja", -0.4*'Tillegg- Res. detaljert GoF'!$F31, 0)</f>
        <v>0</v>
      </c>
      <c r="I31" s="330">
        <f>IF('Tillegg- Inndata GoF'!AD29="Ja", -1*'Tillegg- Res. detaljert GoF'!$F31, 0)</f>
        <v>0</v>
      </c>
      <c r="J31" s="330">
        <f>'Tillegg- Inndata GoF'!O29*'Tillegg- Inndata GoF'!P29</f>
        <v>0</v>
      </c>
      <c r="K31" s="330">
        <f>MAX(-0.75*(SUM('Tillegg- Res. detaljert GoF'!F31:J31)),-'Tillegg- Inndata GoF'!O29*'Tillegg- Inndata GoF'!Q29)</f>
        <v>0</v>
      </c>
      <c r="L31" s="330">
        <f>'Tillegg- Inndata GoF'!S29*'Tillegg- Inndata GoF'!T29</f>
        <v>0</v>
      </c>
      <c r="M31" s="330">
        <f>MAX(-0.75*(SUM('Tillegg- Res. detaljert GoF'!F31:I31,L31)),-'Tillegg- Inndata GoF'!S29*'Tillegg- Inndata GoF'!U29)</f>
        <v>0</v>
      </c>
      <c r="N31" s="331">
        <f>'Tillegg- Inndata GoF'!F29</f>
        <v>0</v>
      </c>
      <c r="O31" s="330">
        <f>'Tillegg- Inndata GoF'!O29*'Tillegg- Inndata GoF'!R29</f>
        <v>0</v>
      </c>
      <c r="P31" s="332">
        <f>'Tillegg- Inndata GoF'!S29*'Tillegg- Inndata GoF'!V29</f>
        <v>0</v>
      </c>
      <c r="Q31" s="333">
        <f>SUM(F31:J31,L31)*'Tillegg- Inndata GoF'!K29</f>
        <v>0</v>
      </c>
      <c r="R31" s="333">
        <f>(K31+M31)*'Tillegg- Inndata GoF'!K29</f>
        <v>0</v>
      </c>
      <c r="S31" s="333">
        <f>SUM(N31:P31)*'Tillegg- Inndata GoF'!K29</f>
        <v>0</v>
      </c>
      <c r="T31" s="334">
        <f>('Tillegg- Inndata GoF'!G29+'Tillegg- Inndata GoF'!O29+'Tillegg- Inndata GoF'!S29)*'Tillegg- Inndata GoF'!K29*Transport_utslipp_til_avfallshånderting_per_kg</f>
        <v>0</v>
      </c>
      <c r="U31" s="330">
        <f>IF('Tillegg- Inndata GoF'!E29 = 0, 0, 1.833*'Tillegg- Inndata GoF'!X29*'Tillegg- Inndata GoF'!K29*('Tillegg- Inndata GoF'!G29*('Tillegg- Inndata GoF'!L29*0.5+'Tillegg- Inndata GoF'!M29*0.8) + (12/44)*('Tillegg- Inndata GoF'!O29*'Tillegg- Inndata GoF'!Q29+'Tillegg- Inndata GoF'!S29*'Tillegg- Inndata GoF'!U29)))</f>
        <v>0</v>
      </c>
      <c r="V31" s="335">
        <f>IF('Tillegg- Inndata GoF'!G29 = 0, 0,  MAX(-SUM(F31:J31,L31)*'Tillegg- Inndata GoF'!L29, -0.114*IF('Tillegg- Inndata GoF'!H29 &gt; 49, _xlfn.XLOOKUP(49, År_etter_ferdigstillelse, karbon_opptak_faktor), _xlfn.XLOOKUP('Tillegg- Inndata GoF'!H29, År_etter_ferdigstillelse, karbon_opptak_faktor))*'Tillegg- Inndata GoF'!G29*'Tillegg- Inndata GoF'!L29*0.5))</f>
        <v>0</v>
      </c>
      <c r="W31" s="333">
        <f>IF('Tillegg- Inndata GoF'!G29=0,0,IF('Tillegg- Inndata GoF'!H29&gt;49,-0.064*'Tillegg- Inndata GoF'!G29*'Tillegg- Inndata GoF'!N29,-0.037*'Tillegg- Inndata GoF'!J29*'Tillegg- Inndata GoF'!N29))</f>
        <v>0</v>
      </c>
      <c r="X31" s="331" cm="1">
        <f t="array" ref="X31">IF(SUM(F31:J31,L31)=0, 0, SUM(F31:J31,L31)*(1+'Tillegg-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Y31" s="330" cm="1">
        <f t="array" ref="Y31">IF(X31=0, 0, SUM(K31,M31)*(1+'Tillegg-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Z31" s="336" cm="1">
        <f t="array" ref="Z31">IF(X31=0, 0, SUM(N31:P31)*(1+'Tillegg-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AA31" s="336" cm="1">
        <f t="array" ref="AA31">IF(X31=0, 0, ('Tillegg- Inndata GoF'!G29+'Tillegg- Inndata GoF'!O29+'Tillegg- Inndata GoF'!S29)*(1+'Tillegg- Inndata GoF'!K29)*Transport_utslipp_til_avfallshånderting_per_kg*IF('Tillegg- Inndata GoF'!H29&gt;50, 0, _xlfn.XLOOKUP('Tillegg- Inndata GoF'!H29, År_etter_ferdigstillelse, IF(VALUE(LEFT('Tillegg- Inndata GoF'!B29, 2))= 49, f_tid_x_f_tek_d_0_037_kumulativ, f_tid_x_f_tek_d_0_01_kumulativ))))</f>
        <v>0</v>
      </c>
      <c r="AB31" s="334" cm="1">
        <f t="array" ref="AB31">IF(X31=0, 0,1.833*'Tillegg- Inndata GoF'!J29*('Tillegg- Inndata GoF'!X29*_xlfn.XLOOKUP(IF('Tillegg- Inndata GoF'!I29&lt;2,'Tillegg- Inndata GoF'!H29,'Tillegg- Inndata GoF'!H29*2), År_etter_ferdigstillelse, Faktorer!$Z$7:$Z$58))*('Tillegg- Inndata GoF'!L29*0.5+'Tillegg- Inndata GoF'!M29*0.8)*_xlfn.XLOOKUP(IF('Tillegg- Inndata GoF'!I29&lt;2,'Tillegg- Inndata GoF'!H29,'Tillegg- Inndata GoF'!H29*2), År_etter_ferdigstillelse,  IF(LEFT('Tillegg- Inndata GoF'!B29, 2)= 49, f_tid_x_f_tek_d_0_037, f_tid_x_f_tek_d_0_01)))</f>
        <v>0</v>
      </c>
      <c r="AC31" s="335">
        <f>IF(('Tillegg- Inndata GoF'!G29) = 0, 0,(('Tillegg- Inndata GoF'!G29)*((AG31+AI31)*Transport_utslipp_til_avfallshånderting_per_kg)+('Tillegg- Inndata GoF'!Z29*'ZERO-B Beregning'!D131)*IF('ZERO-B Beregning'!F132=0,'ZERO-B Beregning'!D132,'ZERO-B Beregning'!F132))*_xlfn.XLOOKUP(51, År_etter_ferdigstillelse, f_tid_x_f_tek_d_0_01))</f>
        <v>0</v>
      </c>
      <c r="AD31" s="337">
        <f>IF(('Tillegg- Inndata GoF'!G29) = 0, 0,1.833*('Tillegg- Inndata GoF'!G29*('Tillegg- Inndata GoF'!L29*0.5+'Tillegg- Inndata GoF'!M29*0.8)*AG31*_xlfn.XLOOKUP(51, År_etter_ferdigstillelse,  f_tid_x_f_tek_d_0_01)))</f>
        <v>0</v>
      </c>
      <c r="AE31" s="333" cm="1">
        <f t="array" ref="AE31">IF(('Tillegg- Inndata GoF'!G29) = 0, 0,-0.8*('Tillegg- Inndata GoF'!G29)*AH31*('Tillegg- Inndata GoF'!E29/'Tillegg- Inndata GoF'!G29)*_xlfn.XLOOKUP(51, År_etter_ferdigstillelse,  IF(LEFT('Tillegg- Inndata GoF'!B29, 2)= 49, f_tid_x_f_tek_d_0_037, f_tid_x_f_tek_d_0_01)))</f>
        <v>0</v>
      </c>
      <c r="AF31" s="338" cm="1">
        <f t="array" ref="AF31">IF(('Tillegg- Inndata GoF'!G29) = 0, 0,-0.1*('Tillegg- Inndata GoF'!G29)*AI31*('Tillegg- Inndata GoF'!E29/'Tillegg- Inndata GoF'!G29)*_xlfn.XLOOKUP(51, År_etter_ferdigstillelse,  IF(LEFT('Tillegg- Inndata GoF'!B29, 2)= 49, f_tid_x_f_tek_d_0_037, f_tid_x_f_tek_d_0_01)))</f>
        <v>0</v>
      </c>
      <c r="AG31" s="572">
        <f>IF(('Tillegg- Inndata GoF'!G29) = 0, 0,'Tillegg- Inndata GoF'!X29*Faktorer!$Z$58)</f>
        <v>0</v>
      </c>
      <c r="AH31" s="573">
        <f>IF(('Tillegg- Inndata GoF'!G29) = 0, 0,'Tillegg- Inndata GoF'!Z29+('Tillegg- Inndata GoF'!X29+'Tillegg- Inndata GoF'!Y29)*(1-Faktorer!$Z$58)*0.5)</f>
        <v>0</v>
      </c>
      <c r="AI31" s="574">
        <f>IF(('Tillegg- Inndata GoF'!G29) = 0, 0,'Tillegg- Inndata GoF'!AA29+('Tillegg- Inndata GoF'!X29+'Tillegg- Inndata GoF'!Y29)*(1-Faktorer!$Z$58)*0.5)</f>
        <v>0</v>
      </c>
      <c r="AK31" s="90">
        <f t="shared" si="1"/>
        <v>0</v>
      </c>
      <c r="AL31" s="91">
        <f>'Tillegg- Res. detaljert GoF'!N31</f>
        <v>0</v>
      </c>
      <c r="AM31" s="91" t="str">
        <f>IF(F31=0,"",('Tillegg- Inndata GoF'!E31+'Tillegg- Inndata GoF'!F31)*ROUNDDOWN('Tillegg- Inndata GoF'!I31,0)*(1+'Tillegg- Inndata GoF'!K31))</f>
        <v/>
      </c>
    </row>
    <row r="32" spans="2:41">
      <c r="B32" s="327">
        <f>'Tillegg- Inndata GoF'!B30</f>
        <v>0</v>
      </c>
      <c r="C32" s="328">
        <f>'Tillegg- Inndata GoF'!C30</f>
        <v>0</v>
      </c>
      <c r="D32" s="329">
        <f>'Tillegg- Inndata GoF'!D30</f>
        <v>0</v>
      </c>
      <c r="E32" s="661" cm="1">
        <f t="array" ref="E32">SUM(IFERROR(F32:AF32,0))</f>
        <v>0</v>
      </c>
      <c r="F32" s="330">
        <f>'Tillegg- Inndata GoF'!E30</f>
        <v>0</v>
      </c>
      <c r="G32" s="330">
        <f>IF('Tillegg- Inndata GoF'!AB30="Ja", -0.8*'Tillegg- Res. detaljert GoF'!$F32, 0)</f>
        <v>0</v>
      </c>
      <c r="H32" s="330">
        <f>IF('Tillegg- Inndata GoF'!AC30="Ja", -0.4*'Tillegg- Res. detaljert GoF'!$F32, 0)</f>
        <v>0</v>
      </c>
      <c r="I32" s="330">
        <f>IF('Tillegg- Inndata GoF'!AD30="Ja", -1*'Tillegg- Res. detaljert GoF'!$F32, 0)</f>
        <v>0</v>
      </c>
      <c r="J32" s="330">
        <f>'Tillegg- Inndata GoF'!O30*'Tillegg- Inndata GoF'!P30</f>
        <v>0</v>
      </c>
      <c r="K32" s="330">
        <f>MAX(-0.75*(SUM('Tillegg- Res. detaljert GoF'!F32:J32)),-'Tillegg- Inndata GoF'!O30*'Tillegg- Inndata GoF'!Q30)</f>
        <v>0</v>
      </c>
      <c r="L32" s="330">
        <f>'Tillegg- Inndata GoF'!S30*'Tillegg- Inndata GoF'!T30</f>
        <v>0</v>
      </c>
      <c r="M32" s="330">
        <f>MAX(-0.75*(SUM('Tillegg- Res. detaljert GoF'!F32:I32,L32)),-'Tillegg- Inndata GoF'!S30*'Tillegg- Inndata GoF'!U30)</f>
        <v>0</v>
      </c>
      <c r="N32" s="331">
        <f>'Tillegg- Inndata GoF'!F30</f>
        <v>0</v>
      </c>
      <c r="O32" s="330">
        <f>'Tillegg- Inndata GoF'!O30*'Tillegg- Inndata GoF'!R30</f>
        <v>0</v>
      </c>
      <c r="P32" s="332">
        <f>'Tillegg- Inndata GoF'!S30*'Tillegg- Inndata GoF'!V30</f>
        <v>0</v>
      </c>
      <c r="Q32" s="333">
        <f>SUM(F32:J32,L32)*'Tillegg- Inndata GoF'!K30</f>
        <v>0</v>
      </c>
      <c r="R32" s="333">
        <f>(K32+M32)*'Tillegg- Inndata GoF'!K30</f>
        <v>0</v>
      </c>
      <c r="S32" s="333">
        <f>SUM(N32:P32)*'Tillegg- Inndata GoF'!K30</f>
        <v>0</v>
      </c>
      <c r="T32" s="334">
        <f>('Tillegg- Inndata GoF'!G30+'Tillegg- Inndata GoF'!O30+'Tillegg- Inndata GoF'!S30)*'Tillegg- Inndata GoF'!K30*Transport_utslipp_til_avfallshånderting_per_kg</f>
        <v>0</v>
      </c>
      <c r="U32" s="330">
        <f>IF('Tillegg- Inndata GoF'!E30 = 0, 0, 1.833*'Tillegg- Inndata GoF'!X30*'Tillegg- Inndata GoF'!K30*('Tillegg- Inndata GoF'!G30*('Tillegg- Inndata GoF'!L30*0.5+'Tillegg- Inndata GoF'!M30*0.8) + (12/44)*('Tillegg- Inndata GoF'!O30*'Tillegg- Inndata GoF'!Q30+'Tillegg- Inndata GoF'!S30*'Tillegg- Inndata GoF'!U30)))</f>
        <v>0</v>
      </c>
      <c r="V32" s="335">
        <f>IF('Tillegg- Inndata GoF'!G30 = 0, 0,  MAX(-SUM(F32:J32,L32)*'Tillegg- Inndata GoF'!L30, -0.114*IF('Tillegg- Inndata GoF'!H30 &gt; 49, _xlfn.XLOOKUP(49, År_etter_ferdigstillelse, karbon_opptak_faktor), _xlfn.XLOOKUP('Tillegg- Inndata GoF'!H30, År_etter_ferdigstillelse, karbon_opptak_faktor))*'Tillegg- Inndata GoF'!G30*'Tillegg- Inndata GoF'!L30*0.5))</f>
        <v>0</v>
      </c>
      <c r="W32" s="333">
        <f>IF('Tillegg- Inndata GoF'!G30=0,0,IF('Tillegg- Inndata GoF'!H30&gt;49,-0.064*'Tillegg- Inndata GoF'!G30*'Tillegg- Inndata GoF'!N30,-0.037*'Tillegg- Inndata GoF'!J30*'Tillegg- Inndata GoF'!N30))</f>
        <v>0</v>
      </c>
      <c r="X32" s="331" cm="1">
        <f t="array" ref="X32">IF(SUM(F32:J32,L32)=0, 0, SUM(F32:J32,L32)*(1+'Tillegg-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Y32" s="330" cm="1">
        <f t="array" ref="Y32">IF(X32=0, 0, SUM(K32,M32)*(1+'Tillegg-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Z32" s="336" cm="1">
        <f t="array" ref="Z32">IF(X32=0, 0, SUM(N32:P32)*(1+'Tillegg-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AA32" s="336" cm="1">
        <f t="array" ref="AA32">IF(X32=0, 0, ('Tillegg- Inndata GoF'!G30+'Tillegg- Inndata GoF'!O30+'Tillegg- Inndata GoF'!S30)*(1+'Tillegg- Inndata GoF'!K30)*Transport_utslipp_til_avfallshånderting_per_kg*IF('Tillegg- Inndata GoF'!H30&gt;50, 0, _xlfn.XLOOKUP('Tillegg- Inndata GoF'!H30, År_etter_ferdigstillelse, IF(VALUE(LEFT('Tillegg- Inndata GoF'!B30, 2))= 49, f_tid_x_f_tek_d_0_037_kumulativ, f_tid_x_f_tek_d_0_01_kumulativ))))</f>
        <v>0</v>
      </c>
      <c r="AB32" s="334" cm="1">
        <f t="array" ref="AB32">IF(X32=0, 0,1.833*'Tillegg- Inndata GoF'!J30*('Tillegg- Inndata GoF'!X30*_xlfn.XLOOKUP(IF('Tillegg- Inndata GoF'!I30&lt;2,'Tillegg- Inndata GoF'!H30,'Tillegg- Inndata GoF'!H30*2), År_etter_ferdigstillelse, Faktorer!$Z$7:$Z$58))*('Tillegg- Inndata GoF'!L30*0.5+'Tillegg- Inndata GoF'!M30*0.8)*_xlfn.XLOOKUP(IF('Tillegg- Inndata GoF'!I30&lt;2,'Tillegg- Inndata GoF'!H30,'Tillegg- Inndata GoF'!H30*2), År_etter_ferdigstillelse,  IF(LEFT('Tillegg- Inndata GoF'!B30, 2)= 49, f_tid_x_f_tek_d_0_037, f_tid_x_f_tek_d_0_01)))</f>
        <v>0</v>
      </c>
      <c r="AC32" s="335">
        <f>IF(('Tillegg- Inndata GoF'!G30) = 0, 0,(('Tillegg- Inndata GoF'!G30)*((AG32+AI32)*Transport_utslipp_til_avfallshånderting_per_kg)+('Tillegg- Inndata GoF'!Z30*'ZERO-B Beregning'!D132)*IF('ZERO-B Beregning'!F133=0,'ZERO-B Beregning'!D133,'ZERO-B Beregning'!F133))*_xlfn.XLOOKUP(51, År_etter_ferdigstillelse, f_tid_x_f_tek_d_0_01))</f>
        <v>0</v>
      </c>
      <c r="AD32" s="337">
        <f>IF(('Tillegg- Inndata GoF'!G30) = 0, 0,1.833*('Tillegg- Inndata GoF'!G30*('Tillegg- Inndata GoF'!L30*0.5+'Tillegg- Inndata GoF'!M30*0.8)*AG32*_xlfn.XLOOKUP(51, År_etter_ferdigstillelse,  f_tid_x_f_tek_d_0_01)))</f>
        <v>0</v>
      </c>
      <c r="AE32" s="333" cm="1">
        <f t="array" ref="AE32">IF(('Tillegg- Inndata GoF'!G30) = 0, 0,-0.8*('Tillegg- Inndata GoF'!G30)*AH32*('Tillegg- Inndata GoF'!E30/'Tillegg- Inndata GoF'!G30)*_xlfn.XLOOKUP(51, År_etter_ferdigstillelse,  IF(LEFT('Tillegg- Inndata GoF'!B30, 2)= 49, f_tid_x_f_tek_d_0_037, f_tid_x_f_tek_d_0_01)))</f>
        <v>0</v>
      </c>
      <c r="AF32" s="338" cm="1">
        <f t="array" ref="AF32">IF(('Tillegg- Inndata GoF'!G30) = 0, 0,-0.1*('Tillegg- Inndata GoF'!G30)*AI32*('Tillegg- Inndata GoF'!E30/'Tillegg- Inndata GoF'!G30)*_xlfn.XLOOKUP(51, År_etter_ferdigstillelse,  IF(LEFT('Tillegg- Inndata GoF'!B30, 2)= 49, f_tid_x_f_tek_d_0_037, f_tid_x_f_tek_d_0_01)))</f>
        <v>0</v>
      </c>
      <c r="AG32" s="572">
        <f>IF(('Tillegg- Inndata GoF'!G30) = 0, 0,'Tillegg- Inndata GoF'!X30*Faktorer!$Z$58)</f>
        <v>0</v>
      </c>
      <c r="AH32" s="573">
        <f>IF(('Tillegg- Inndata GoF'!G30) = 0, 0,'Tillegg- Inndata GoF'!Z30+('Tillegg- Inndata GoF'!X30+'Tillegg- Inndata GoF'!Y30)*(1-Faktorer!$Z$58)*0.5)</f>
        <v>0</v>
      </c>
      <c r="AI32" s="574">
        <f>IF(('Tillegg- Inndata GoF'!G30) = 0, 0,'Tillegg- Inndata GoF'!AA30+('Tillegg- Inndata GoF'!X30+'Tillegg- Inndata GoF'!Y30)*(1-Faktorer!$Z$58)*0.5)</f>
        <v>0</v>
      </c>
      <c r="AK32" s="90">
        <f t="shared" si="1"/>
        <v>0</v>
      </c>
      <c r="AL32" s="91">
        <f>'Tillegg- Res. detaljert GoF'!N32</f>
        <v>0</v>
      </c>
      <c r="AM32" s="91" t="str">
        <f>IF(F32=0,"",('Tillegg- Inndata GoF'!E32+'Tillegg- Inndata GoF'!F32)*ROUNDDOWN('Tillegg- Inndata GoF'!I32,0)*(1+'Tillegg- Inndata GoF'!K32))</f>
        <v/>
      </c>
    </row>
    <row r="33" spans="2:39">
      <c r="B33" s="327">
        <f>'Tillegg- Inndata GoF'!B31</f>
        <v>0</v>
      </c>
      <c r="C33" s="328">
        <f>'Tillegg- Inndata GoF'!C31</f>
        <v>0</v>
      </c>
      <c r="D33" s="329">
        <f>'Tillegg- Inndata GoF'!D31</f>
        <v>0</v>
      </c>
      <c r="E33" s="661" cm="1">
        <f t="array" ref="E33">SUM(IFERROR(F33:AF33,0))</f>
        <v>0</v>
      </c>
      <c r="F33" s="330">
        <f>'Tillegg- Inndata GoF'!E31</f>
        <v>0</v>
      </c>
      <c r="G33" s="330">
        <f>IF('Tillegg- Inndata GoF'!AB31="Ja", -0.8*'Tillegg- Res. detaljert GoF'!$F33, 0)</f>
        <v>0</v>
      </c>
      <c r="H33" s="330">
        <f>IF('Tillegg- Inndata GoF'!AC31="Ja", -0.4*'Tillegg- Res. detaljert GoF'!$F33, 0)</f>
        <v>0</v>
      </c>
      <c r="I33" s="330">
        <f>IF('Tillegg- Inndata GoF'!AD31="Ja", -1*'Tillegg- Res. detaljert GoF'!$F33, 0)</f>
        <v>0</v>
      </c>
      <c r="J33" s="330">
        <f>'Tillegg- Inndata GoF'!O31*'Tillegg- Inndata GoF'!P31</f>
        <v>0</v>
      </c>
      <c r="K33" s="330">
        <f>MAX(-0.75*(SUM('Tillegg- Res. detaljert GoF'!F33:J33)),-'Tillegg- Inndata GoF'!O31*'Tillegg- Inndata GoF'!Q31)</f>
        <v>0</v>
      </c>
      <c r="L33" s="330">
        <f>'Tillegg- Inndata GoF'!S31*'Tillegg- Inndata GoF'!T31</f>
        <v>0</v>
      </c>
      <c r="M33" s="330">
        <f>MAX(-0.75*(SUM('Tillegg- Res. detaljert GoF'!F33:I33,L33)),-'Tillegg- Inndata GoF'!S31*'Tillegg- Inndata GoF'!U31)</f>
        <v>0</v>
      </c>
      <c r="N33" s="331">
        <f>'Tillegg- Inndata GoF'!F31</f>
        <v>0</v>
      </c>
      <c r="O33" s="330">
        <f>'Tillegg- Inndata GoF'!O31*'Tillegg- Inndata GoF'!R31</f>
        <v>0</v>
      </c>
      <c r="P33" s="332">
        <f>'Tillegg- Inndata GoF'!S31*'Tillegg- Inndata GoF'!V31</f>
        <v>0</v>
      </c>
      <c r="Q33" s="333">
        <f>SUM(F33:J33,L33)*'Tillegg- Inndata GoF'!K31</f>
        <v>0</v>
      </c>
      <c r="R33" s="333">
        <f>(K33+M33)*'Tillegg- Inndata GoF'!K31</f>
        <v>0</v>
      </c>
      <c r="S33" s="333">
        <f>SUM(N33:P33)*'Tillegg- Inndata GoF'!K31</f>
        <v>0</v>
      </c>
      <c r="T33" s="334">
        <f>('Tillegg- Inndata GoF'!G31+'Tillegg- Inndata GoF'!O31+'Tillegg- Inndata GoF'!S31)*'Tillegg- Inndata GoF'!K31*Transport_utslipp_til_avfallshånderting_per_kg</f>
        <v>0</v>
      </c>
      <c r="U33" s="330">
        <f>IF('Tillegg- Inndata GoF'!E31 = 0, 0, 1.833*'Tillegg- Inndata GoF'!X31*'Tillegg- Inndata GoF'!K31*('Tillegg- Inndata GoF'!G31*('Tillegg- Inndata GoF'!L31*0.5+'Tillegg- Inndata GoF'!M31*0.8) + (12/44)*('Tillegg- Inndata GoF'!O31*'Tillegg- Inndata GoF'!Q31+'Tillegg- Inndata GoF'!S31*'Tillegg- Inndata GoF'!U31)))</f>
        <v>0</v>
      </c>
      <c r="V33" s="335">
        <f>IF('Tillegg- Inndata GoF'!G31 = 0, 0,  MAX(-SUM(F33:J33,L33)*'Tillegg- Inndata GoF'!L31, -0.114*IF('Tillegg- Inndata GoF'!H31 &gt; 49, _xlfn.XLOOKUP(49, År_etter_ferdigstillelse, karbon_opptak_faktor), _xlfn.XLOOKUP('Tillegg- Inndata GoF'!H31, År_etter_ferdigstillelse, karbon_opptak_faktor))*'Tillegg- Inndata GoF'!G31*'Tillegg- Inndata GoF'!L31*0.5))</f>
        <v>0</v>
      </c>
      <c r="W33" s="333">
        <f>IF('Tillegg- Inndata GoF'!G31=0,0,IF('Tillegg- Inndata GoF'!H31&gt;49,-0.064*'Tillegg- Inndata GoF'!G31*'Tillegg- Inndata GoF'!N31,-0.037*'Tillegg- Inndata GoF'!J31*'Tillegg- Inndata GoF'!N31))</f>
        <v>0</v>
      </c>
      <c r="X33" s="331" cm="1">
        <f t="array" ref="X33">IF(SUM(F33:J33,L33)=0, 0, SUM(F33:J33,L33)*(1+'Tillegg-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Y33" s="330" cm="1">
        <f t="array" ref="Y33">IF(X33=0, 0, SUM(K33,M33)*(1+'Tillegg-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Z33" s="336" cm="1">
        <f t="array" ref="Z33">IF(X33=0, 0, SUM(N33:P33)*(1+'Tillegg-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AA33" s="336" cm="1">
        <f t="array" ref="AA33">IF(X33=0, 0, ('Tillegg- Inndata GoF'!G31+'Tillegg- Inndata GoF'!O31+'Tillegg- Inndata GoF'!S31)*(1+'Tillegg- Inndata GoF'!K31)*Transport_utslipp_til_avfallshånderting_per_kg*IF('Tillegg- Inndata GoF'!H31&gt;50, 0, _xlfn.XLOOKUP('Tillegg- Inndata GoF'!H31, År_etter_ferdigstillelse, IF(VALUE(LEFT('Tillegg- Inndata GoF'!B31, 2))= 49, f_tid_x_f_tek_d_0_037_kumulativ, f_tid_x_f_tek_d_0_01_kumulativ))))</f>
        <v>0</v>
      </c>
      <c r="AB33" s="334" cm="1">
        <f t="array" ref="AB33">IF(X33=0, 0,1.833*'Tillegg- Inndata GoF'!J31*('Tillegg- Inndata GoF'!X31*_xlfn.XLOOKUP(IF('Tillegg- Inndata GoF'!I31&lt;2,'Tillegg- Inndata GoF'!H31,'Tillegg- Inndata GoF'!H31*2), År_etter_ferdigstillelse, Faktorer!$Z$7:$Z$58))*('Tillegg- Inndata GoF'!L31*0.5+'Tillegg- Inndata GoF'!M31*0.8)*_xlfn.XLOOKUP(IF('Tillegg- Inndata GoF'!I31&lt;2,'Tillegg- Inndata GoF'!H31,'Tillegg- Inndata GoF'!H31*2), År_etter_ferdigstillelse,  IF(LEFT('Tillegg- Inndata GoF'!B31, 2)= 49, f_tid_x_f_tek_d_0_037, f_tid_x_f_tek_d_0_01)))</f>
        <v>0</v>
      </c>
      <c r="AC33" s="335">
        <f>IF(('Tillegg- Inndata GoF'!G31) = 0, 0,(('Tillegg- Inndata GoF'!G31)*((AG33+AI33)*Transport_utslipp_til_avfallshånderting_per_kg)+('Tillegg- Inndata GoF'!Z31*'ZERO-B Beregning'!D133)*IF('ZERO-B Beregning'!F134=0,'ZERO-B Beregning'!D134,'ZERO-B Beregning'!F134))*_xlfn.XLOOKUP(51, År_etter_ferdigstillelse, f_tid_x_f_tek_d_0_01))</f>
        <v>0</v>
      </c>
      <c r="AD33" s="337">
        <f>IF(('Tillegg- Inndata GoF'!G31) = 0, 0,1.833*('Tillegg- Inndata GoF'!G31*('Tillegg- Inndata GoF'!L31*0.5+'Tillegg- Inndata GoF'!M31*0.8)*AG33*_xlfn.XLOOKUP(51, År_etter_ferdigstillelse,  f_tid_x_f_tek_d_0_01)))</f>
        <v>0</v>
      </c>
      <c r="AE33" s="333" cm="1">
        <f t="array" ref="AE33">IF(('Tillegg- Inndata GoF'!G31) = 0, 0,-0.8*('Tillegg- Inndata GoF'!G31)*AH33*('Tillegg- Inndata GoF'!E31/'Tillegg- Inndata GoF'!G31)*_xlfn.XLOOKUP(51, År_etter_ferdigstillelse,  IF(LEFT('Tillegg- Inndata GoF'!B31, 2)= 49, f_tid_x_f_tek_d_0_037, f_tid_x_f_tek_d_0_01)))</f>
        <v>0</v>
      </c>
      <c r="AF33" s="338" cm="1">
        <f t="array" ref="AF33">IF(('Tillegg- Inndata GoF'!G31) = 0, 0,-0.1*('Tillegg- Inndata GoF'!G31)*AI33*('Tillegg- Inndata GoF'!E31/'Tillegg- Inndata GoF'!G31)*_xlfn.XLOOKUP(51, År_etter_ferdigstillelse,  IF(LEFT('Tillegg- Inndata GoF'!B31, 2)= 49, f_tid_x_f_tek_d_0_037, f_tid_x_f_tek_d_0_01)))</f>
        <v>0</v>
      </c>
      <c r="AG33" s="572">
        <f>IF(('Tillegg- Inndata GoF'!G31) = 0, 0,'Tillegg- Inndata GoF'!X31*Faktorer!$Z$58)</f>
        <v>0</v>
      </c>
      <c r="AH33" s="573">
        <f>IF(('Tillegg- Inndata GoF'!G31) = 0, 0,'Tillegg- Inndata GoF'!Z31+('Tillegg- Inndata GoF'!X31+'Tillegg- Inndata GoF'!Y31)*(1-Faktorer!$Z$58)*0.5)</f>
        <v>0</v>
      </c>
      <c r="AI33" s="574">
        <f>IF(('Tillegg- Inndata GoF'!G31) = 0, 0,'Tillegg- Inndata GoF'!AA31+('Tillegg- Inndata GoF'!X31+'Tillegg- Inndata GoF'!Y31)*(1-Faktorer!$Z$58)*0.5)</f>
        <v>0</v>
      </c>
      <c r="AK33" s="90">
        <f t="shared" si="1"/>
        <v>0</v>
      </c>
      <c r="AL33" s="91">
        <f>'Tillegg- Res. detaljert GoF'!N33</f>
        <v>0</v>
      </c>
      <c r="AM33" s="91" t="str">
        <f>IF(F33=0,"",('Tillegg- Inndata GoF'!E33+'Tillegg- Inndata GoF'!F33)*ROUNDDOWN('Tillegg- Inndata GoF'!I33,0)*(1+'Tillegg- Inndata GoF'!K33))</f>
        <v/>
      </c>
    </row>
    <row r="34" spans="2:39">
      <c r="B34" s="327">
        <f>'Tillegg- Inndata GoF'!B32</f>
        <v>0</v>
      </c>
      <c r="C34" s="328">
        <f>'Tillegg- Inndata GoF'!C32</f>
        <v>0</v>
      </c>
      <c r="D34" s="329">
        <f>'Tillegg- Inndata GoF'!D32</f>
        <v>0</v>
      </c>
      <c r="E34" s="661" cm="1">
        <f t="array" ref="E34">SUM(IFERROR(F34:AF34,0))</f>
        <v>0</v>
      </c>
      <c r="F34" s="330">
        <f>'Tillegg- Inndata GoF'!E32</f>
        <v>0</v>
      </c>
      <c r="G34" s="330">
        <f>IF('Tillegg- Inndata GoF'!AB32="Ja", -0.8*'Tillegg- Res. detaljert GoF'!$F34, 0)</f>
        <v>0</v>
      </c>
      <c r="H34" s="330">
        <f>IF('Tillegg- Inndata GoF'!AC32="Ja", -0.4*'Tillegg- Res. detaljert GoF'!$F34, 0)</f>
        <v>0</v>
      </c>
      <c r="I34" s="330">
        <f>IF('Tillegg- Inndata GoF'!AD32="Ja", -1*'Tillegg- Res. detaljert GoF'!$F34, 0)</f>
        <v>0</v>
      </c>
      <c r="J34" s="330">
        <f>'Tillegg- Inndata GoF'!O32*'Tillegg- Inndata GoF'!P32</f>
        <v>0</v>
      </c>
      <c r="K34" s="330">
        <f>MAX(-0.75*(SUM('Tillegg- Res. detaljert GoF'!F34:J34)),-'Tillegg- Inndata GoF'!O32*'Tillegg- Inndata GoF'!Q32)</f>
        <v>0</v>
      </c>
      <c r="L34" s="330">
        <f>'Tillegg- Inndata GoF'!S32*'Tillegg- Inndata GoF'!T32</f>
        <v>0</v>
      </c>
      <c r="M34" s="330">
        <f>MAX(-0.75*(SUM('Tillegg- Res. detaljert GoF'!F34:I34,L34)),-'Tillegg- Inndata GoF'!S32*'Tillegg- Inndata GoF'!U32)</f>
        <v>0</v>
      </c>
      <c r="N34" s="331">
        <f>'Tillegg- Inndata GoF'!F32</f>
        <v>0</v>
      </c>
      <c r="O34" s="330">
        <f>'Tillegg- Inndata GoF'!O32*'Tillegg- Inndata GoF'!R32</f>
        <v>0</v>
      </c>
      <c r="P34" s="332">
        <f>'Tillegg- Inndata GoF'!S32*'Tillegg- Inndata GoF'!V32</f>
        <v>0</v>
      </c>
      <c r="Q34" s="333">
        <f>SUM(F34:J34,L34)*'Tillegg- Inndata GoF'!K32</f>
        <v>0</v>
      </c>
      <c r="R34" s="333">
        <f>(K34+M34)*'Tillegg- Inndata GoF'!K32</f>
        <v>0</v>
      </c>
      <c r="S34" s="333">
        <f>SUM(N34:P34)*'Tillegg- Inndata GoF'!K32</f>
        <v>0</v>
      </c>
      <c r="T34" s="334">
        <f>('Tillegg- Inndata GoF'!G32+'Tillegg- Inndata GoF'!O32+'Tillegg- Inndata GoF'!S32)*'Tillegg- Inndata GoF'!K32*Transport_utslipp_til_avfallshånderting_per_kg</f>
        <v>0</v>
      </c>
      <c r="U34" s="330">
        <f>IF('Tillegg- Inndata GoF'!E32 = 0, 0, 1.833*'Tillegg- Inndata GoF'!X32*'Tillegg- Inndata GoF'!K32*('Tillegg- Inndata GoF'!G32*('Tillegg- Inndata GoF'!L32*0.5+'Tillegg- Inndata GoF'!M32*0.8) + (12/44)*('Tillegg- Inndata GoF'!O32*'Tillegg- Inndata GoF'!Q32+'Tillegg- Inndata GoF'!S32*'Tillegg- Inndata GoF'!U32)))</f>
        <v>0</v>
      </c>
      <c r="V34" s="335">
        <f>IF('Tillegg- Inndata GoF'!G32 = 0, 0,  MAX(-SUM(F34:J34,L34)*'Tillegg- Inndata GoF'!L32, -0.114*IF('Tillegg- Inndata GoF'!H32 &gt; 49, _xlfn.XLOOKUP(49, År_etter_ferdigstillelse, karbon_opptak_faktor), _xlfn.XLOOKUP('Tillegg- Inndata GoF'!H32, År_etter_ferdigstillelse, karbon_opptak_faktor))*'Tillegg- Inndata GoF'!G32*'Tillegg- Inndata GoF'!L32*0.5))</f>
        <v>0</v>
      </c>
      <c r="W34" s="333">
        <f>IF('Tillegg- Inndata GoF'!G32=0,0,IF('Tillegg- Inndata GoF'!H32&gt;49,-0.064*'Tillegg- Inndata GoF'!G32*'Tillegg- Inndata GoF'!N32,-0.037*'Tillegg- Inndata GoF'!J32*'Tillegg- Inndata GoF'!N32))</f>
        <v>0</v>
      </c>
      <c r="X34" s="331" cm="1">
        <f t="array" ref="X34">IF(SUM(F34:J34,L34)=0, 0, SUM(F34:J34,L34)*(1+'Tillegg-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Y34" s="330" cm="1">
        <f t="array" ref="Y34">IF(X34=0, 0, SUM(K34,M34)*(1+'Tillegg-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Z34" s="336" cm="1">
        <f t="array" ref="Z34">IF(X34=0, 0, SUM(N34:P34)*(1+'Tillegg-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AA34" s="336" cm="1">
        <f t="array" ref="AA34">IF(X34=0, 0, ('Tillegg- Inndata GoF'!G32+'Tillegg- Inndata GoF'!O32+'Tillegg- Inndata GoF'!S32)*(1+'Tillegg- Inndata GoF'!K32)*Transport_utslipp_til_avfallshånderting_per_kg*IF('Tillegg- Inndata GoF'!H32&gt;50, 0, _xlfn.XLOOKUP('Tillegg- Inndata GoF'!H32, År_etter_ferdigstillelse, IF(VALUE(LEFT('Tillegg- Inndata GoF'!B32, 2))= 49, f_tid_x_f_tek_d_0_037_kumulativ, f_tid_x_f_tek_d_0_01_kumulativ))))</f>
        <v>0</v>
      </c>
      <c r="AB34" s="334" cm="1">
        <f t="array" ref="AB34">IF(X34=0, 0,1.833*'Tillegg- Inndata GoF'!J32*('Tillegg- Inndata GoF'!X32*_xlfn.XLOOKUP(IF('Tillegg- Inndata GoF'!I32&lt;2,'Tillegg- Inndata GoF'!H32,'Tillegg- Inndata GoF'!H32*2), År_etter_ferdigstillelse, Faktorer!$Z$7:$Z$58))*('Tillegg- Inndata GoF'!L32*0.5+'Tillegg- Inndata GoF'!M32*0.8)*_xlfn.XLOOKUP(IF('Tillegg- Inndata GoF'!I32&lt;2,'Tillegg- Inndata GoF'!H32,'Tillegg- Inndata GoF'!H32*2), År_etter_ferdigstillelse,  IF(LEFT('Tillegg- Inndata GoF'!B32, 2)= 49, f_tid_x_f_tek_d_0_037, f_tid_x_f_tek_d_0_01)))</f>
        <v>0</v>
      </c>
      <c r="AC34" s="335">
        <f>IF(('Tillegg- Inndata GoF'!G32) = 0, 0,(('Tillegg- Inndata GoF'!G32)*((AG34+AI34)*Transport_utslipp_til_avfallshånderting_per_kg)+('Tillegg- Inndata GoF'!Z32*'ZERO-B Beregning'!D134)*IF('ZERO-B Beregning'!F135=0,'ZERO-B Beregning'!D135,'ZERO-B Beregning'!F135))*_xlfn.XLOOKUP(51, År_etter_ferdigstillelse, f_tid_x_f_tek_d_0_01))</f>
        <v>0</v>
      </c>
      <c r="AD34" s="337">
        <f>IF(('Tillegg- Inndata GoF'!G32) = 0, 0,1.833*('Tillegg- Inndata GoF'!G32*('Tillegg- Inndata GoF'!L32*0.5+'Tillegg- Inndata GoF'!M32*0.8)*AG34*_xlfn.XLOOKUP(51, År_etter_ferdigstillelse,  f_tid_x_f_tek_d_0_01)))</f>
        <v>0</v>
      </c>
      <c r="AE34" s="333" cm="1">
        <f t="array" ref="AE34">IF(('Tillegg- Inndata GoF'!G32) = 0, 0,-0.8*('Tillegg- Inndata GoF'!G32)*AH34*('Tillegg- Inndata GoF'!E32/'Tillegg- Inndata GoF'!G32)*_xlfn.XLOOKUP(51, År_etter_ferdigstillelse,  IF(LEFT('Tillegg- Inndata GoF'!B32, 2)= 49, f_tid_x_f_tek_d_0_037, f_tid_x_f_tek_d_0_01)))</f>
        <v>0</v>
      </c>
      <c r="AF34" s="338" cm="1">
        <f t="array" ref="AF34">IF(('Tillegg- Inndata GoF'!G32) = 0, 0,-0.1*('Tillegg- Inndata GoF'!G32)*AI34*('Tillegg- Inndata GoF'!E32/'Tillegg- Inndata GoF'!G32)*_xlfn.XLOOKUP(51, År_etter_ferdigstillelse,  IF(LEFT('Tillegg- Inndata GoF'!B32, 2)= 49, f_tid_x_f_tek_d_0_037, f_tid_x_f_tek_d_0_01)))</f>
        <v>0</v>
      </c>
      <c r="AG34" s="572">
        <f>IF(('Tillegg- Inndata GoF'!G32) = 0, 0,'Tillegg- Inndata GoF'!X32*Faktorer!$Z$58)</f>
        <v>0</v>
      </c>
      <c r="AH34" s="573">
        <f>IF(('Tillegg- Inndata GoF'!G32) = 0, 0,'Tillegg- Inndata GoF'!Z32+('Tillegg- Inndata GoF'!X32+'Tillegg- Inndata GoF'!Y32)*(1-Faktorer!$Z$58)*0.5)</f>
        <v>0</v>
      </c>
      <c r="AI34" s="574">
        <f>IF(('Tillegg- Inndata GoF'!G32) = 0, 0,'Tillegg- Inndata GoF'!AA32+('Tillegg- Inndata GoF'!X32+'Tillegg- Inndata GoF'!Y32)*(1-Faktorer!$Z$58)*0.5)</f>
        <v>0</v>
      </c>
      <c r="AK34" s="90">
        <f t="shared" si="1"/>
        <v>0</v>
      </c>
      <c r="AL34" s="91">
        <f>'Tillegg- Res. detaljert GoF'!N34</f>
        <v>0</v>
      </c>
      <c r="AM34" s="91" t="str">
        <f>IF(F34=0,"",('Tillegg- Inndata GoF'!E34+'Tillegg- Inndata GoF'!F34)*ROUNDDOWN('Tillegg- Inndata GoF'!I34,0)*(1+'Tillegg- Inndata GoF'!K34))</f>
        <v/>
      </c>
    </row>
    <row r="35" spans="2:39">
      <c r="B35" s="327">
        <f>'Tillegg- Inndata GoF'!B33</f>
        <v>0</v>
      </c>
      <c r="C35" s="328">
        <f>'Tillegg- Inndata GoF'!C33</f>
        <v>0</v>
      </c>
      <c r="D35" s="329">
        <f>'Tillegg- Inndata GoF'!D33</f>
        <v>0</v>
      </c>
      <c r="E35" s="661" cm="1">
        <f t="array" ref="E35">SUM(IFERROR(F35:AF35,0))</f>
        <v>0</v>
      </c>
      <c r="F35" s="330">
        <f>'Tillegg- Inndata GoF'!E33</f>
        <v>0</v>
      </c>
      <c r="G35" s="330">
        <f>IF('Tillegg- Inndata GoF'!AB33="Ja", -0.8*'Tillegg- Res. detaljert GoF'!$F35, 0)</f>
        <v>0</v>
      </c>
      <c r="H35" s="330">
        <f>IF('Tillegg- Inndata GoF'!AC33="Ja", -0.4*'Tillegg- Res. detaljert GoF'!$F35, 0)</f>
        <v>0</v>
      </c>
      <c r="I35" s="330">
        <f>IF('Tillegg- Inndata GoF'!AD33="Ja", -1*'Tillegg- Res. detaljert GoF'!$F35, 0)</f>
        <v>0</v>
      </c>
      <c r="J35" s="330">
        <f>'Tillegg- Inndata GoF'!O33*'Tillegg- Inndata GoF'!P33</f>
        <v>0</v>
      </c>
      <c r="K35" s="330">
        <f>MAX(-0.75*(SUM('Tillegg- Res. detaljert GoF'!F35:J35)),-'Tillegg- Inndata GoF'!O33*'Tillegg- Inndata GoF'!Q33)</f>
        <v>0</v>
      </c>
      <c r="L35" s="330">
        <f>'Tillegg- Inndata GoF'!S33*'Tillegg- Inndata GoF'!T33</f>
        <v>0</v>
      </c>
      <c r="M35" s="330">
        <f>MAX(-0.75*(SUM('Tillegg- Res. detaljert GoF'!F35:I35,L35)),-'Tillegg- Inndata GoF'!S33*'Tillegg- Inndata GoF'!U33)</f>
        <v>0</v>
      </c>
      <c r="N35" s="331">
        <f>'Tillegg- Inndata GoF'!F33</f>
        <v>0</v>
      </c>
      <c r="O35" s="330">
        <f>'Tillegg- Inndata GoF'!O33*'Tillegg- Inndata GoF'!R33</f>
        <v>0</v>
      </c>
      <c r="P35" s="332">
        <f>'Tillegg- Inndata GoF'!S33*'Tillegg- Inndata GoF'!V33</f>
        <v>0</v>
      </c>
      <c r="Q35" s="333">
        <f>SUM(F35:J35,L35)*'Tillegg- Inndata GoF'!K33</f>
        <v>0</v>
      </c>
      <c r="R35" s="333">
        <f>(K35+M35)*'Tillegg- Inndata GoF'!K33</f>
        <v>0</v>
      </c>
      <c r="S35" s="333">
        <f>SUM(N35:P35)*'Tillegg- Inndata GoF'!K33</f>
        <v>0</v>
      </c>
      <c r="T35" s="334">
        <f>('Tillegg- Inndata GoF'!G33+'Tillegg- Inndata GoF'!O33+'Tillegg- Inndata GoF'!S33)*'Tillegg- Inndata GoF'!K33*Transport_utslipp_til_avfallshånderting_per_kg</f>
        <v>0</v>
      </c>
      <c r="U35" s="330">
        <f>IF('Tillegg- Inndata GoF'!E33 = 0, 0, 1.833*'Tillegg- Inndata GoF'!X33*'Tillegg- Inndata GoF'!K33*('Tillegg- Inndata GoF'!G33*('Tillegg- Inndata GoF'!L33*0.5+'Tillegg- Inndata GoF'!M33*0.8) + (12/44)*('Tillegg- Inndata GoF'!O33*'Tillegg- Inndata GoF'!Q33+'Tillegg- Inndata GoF'!S33*'Tillegg- Inndata GoF'!U33)))</f>
        <v>0</v>
      </c>
      <c r="V35" s="335">
        <f>IF('Tillegg- Inndata GoF'!G33 = 0, 0,  MAX(-SUM(F35:J35,L35)*'Tillegg- Inndata GoF'!L33, -0.114*IF('Tillegg- Inndata GoF'!H33 &gt; 49, _xlfn.XLOOKUP(49, År_etter_ferdigstillelse, karbon_opptak_faktor), _xlfn.XLOOKUP('Tillegg- Inndata GoF'!H33, År_etter_ferdigstillelse, karbon_opptak_faktor))*'Tillegg- Inndata GoF'!G33*'Tillegg- Inndata GoF'!L33*0.5))</f>
        <v>0</v>
      </c>
      <c r="W35" s="333">
        <f>IF('Tillegg- Inndata GoF'!G33=0,0,IF('Tillegg- Inndata GoF'!H33&gt;49,-0.064*'Tillegg- Inndata GoF'!G33*'Tillegg- Inndata GoF'!N33,-0.037*'Tillegg- Inndata GoF'!J33*'Tillegg- Inndata GoF'!N33))</f>
        <v>0</v>
      </c>
      <c r="X35" s="331" cm="1">
        <f t="array" ref="X35">IF(SUM(F35:J35,L35)=0, 0, SUM(F35:J35,L35)*(1+'Tillegg-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Y35" s="330" cm="1">
        <f t="array" ref="Y35">IF(X35=0, 0, SUM(K35,M35)*(1+'Tillegg-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Z35" s="336" cm="1">
        <f t="array" ref="Z35">IF(X35=0, 0, SUM(N35:P35)*(1+'Tillegg-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AA35" s="336" cm="1">
        <f t="array" ref="AA35">IF(X35=0, 0, ('Tillegg- Inndata GoF'!G33+'Tillegg- Inndata GoF'!O33+'Tillegg- Inndata GoF'!S33)*(1+'Tillegg- Inndata GoF'!K33)*Transport_utslipp_til_avfallshånderting_per_kg*IF('Tillegg- Inndata GoF'!H33&gt;50, 0, _xlfn.XLOOKUP('Tillegg- Inndata GoF'!H33, År_etter_ferdigstillelse, IF(VALUE(LEFT('Tillegg- Inndata GoF'!B33, 2))= 49, f_tid_x_f_tek_d_0_037_kumulativ, f_tid_x_f_tek_d_0_01_kumulativ))))</f>
        <v>0</v>
      </c>
      <c r="AB35" s="334" cm="1">
        <f t="array" ref="AB35">IF(X35=0, 0,1.833*'Tillegg- Inndata GoF'!J33*('Tillegg- Inndata GoF'!X33*_xlfn.XLOOKUP(IF('Tillegg- Inndata GoF'!I33&lt;2,'Tillegg- Inndata GoF'!H33,'Tillegg- Inndata GoF'!H33*2), År_etter_ferdigstillelse, Faktorer!$Z$7:$Z$58))*('Tillegg- Inndata GoF'!L33*0.5+'Tillegg- Inndata GoF'!M33*0.8)*_xlfn.XLOOKUP(IF('Tillegg- Inndata GoF'!I33&lt;2,'Tillegg- Inndata GoF'!H33,'Tillegg- Inndata GoF'!H33*2), År_etter_ferdigstillelse,  IF(LEFT('Tillegg- Inndata GoF'!B33, 2)= 49, f_tid_x_f_tek_d_0_037, f_tid_x_f_tek_d_0_01)))</f>
        <v>0</v>
      </c>
      <c r="AC35" s="335">
        <f>IF(('Tillegg- Inndata GoF'!G33) = 0, 0,(('Tillegg- Inndata GoF'!G33)*((AG35+AI35)*Transport_utslipp_til_avfallshånderting_per_kg)+('Tillegg- Inndata GoF'!Z33*'ZERO-B Beregning'!D135)*IF('ZERO-B Beregning'!F136=0,'ZERO-B Beregning'!D136,'ZERO-B Beregning'!F136))*_xlfn.XLOOKUP(51, År_etter_ferdigstillelse, f_tid_x_f_tek_d_0_01))</f>
        <v>0</v>
      </c>
      <c r="AD35" s="337">
        <f>IF(('Tillegg- Inndata GoF'!G33) = 0, 0,1.833*('Tillegg- Inndata GoF'!G33*('Tillegg- Inndata GoF'!L33*0.5+'Tillegg- Inndata GoF'!M33*0.8)*AG35*_xlfn.XLOOKUP(51, År_etter_ferdigstillelse,  f_tid_x_f_tek_d_0_01)))</f>
        <v>0</v>
      </c>
      <c r="AE35" s="333" cm="1">
        <f t="array" ref="AE35">IF(('Tillegg- Inndata GoF'!G33) = 0, 0,-0.8*('Tillegg- Inndata GoF'!G33)*AH35*('Tillegg- Inndata GoF'!E33/'Tillegg- Inndata GoF'!G33)*_xlfn.XLOOKUP(51, År_etter_ferdigstillelse,  IF(LEFT('Tillegg- Inndata GoF'!B33, 2)= 49, f_tid_x_f_tek_d_0_037, f_tid_x_f_tek_d_0_01)))</f>
        <v>0</v>
      </c>
      <c r="AF35" s="338" cm="1">
        <f t="array" ref="AF35">IF(('Tillegg- Inndata GoF'!G33) = 0, 0,-0.1*('Tillegg- Inndata GoF'!G33)*AI35*('Tillegg- Inndata GoF'!E33/'Tillegg- Inndata GoF'!G33)*_xlfn.XLOOKUP(51, År_etter_ferdigstillelse,  IF(LEFT('Tillegg- Inndata GoF'!B33, 2)= 49, f_tid_x_f_tek_d_0_037, f_tid_x_f_tek_d_0_01)))</f>
        <v>0</v>
      </c>
      <c r="AG35" s="572">
        <f>IF(('Tillegg- Inndata GoF'!G33) = 0, 0,'Tillegg- Inndata GoF'!X33*Faktorer!$Z$58)</f>
        <v>0</v>
      </c>
      <c r="AH35" s="573">
        <f>IF(('Tillegg- Inndata GoF'!G33) = 0, 0,'Tillegg- Inndata GoF'!Z33+('Tillegg- Inndata GoF'!X33+'Tillegg- Inndata GoF'!Y33)*(1-Faktorer!$Z$58)*0.5)</f>
        <v>0</v>
      </c>
      <c r="AI35" s="574">
        <f>IF(('Tillegg- Inndata GoF'!G33) = 0, 0,'Tillegg- Inndata GoF'!AA33+('Tillegg- Inndata GoF'!X33+'Tillegg- Inndata GoF'!Y33)*(1-Faktorer!$Z$58)*0.5)</f>
        <v>0</v>
      </c>
      <c r="AK35" s="90">
        <f t="shared" si="1"/>
        <v>0</v>
      </c>
      <c r="AL35" s="91">
        <f>'Tillegg- Res. detaljert GoF'!N35</f>
        <v>0</v>
      </c>
      <c r="AM35" s="91" t="str">
        <f>IF(F35=0,"",('Tillegg- Inndata GoF'!E35+'Tillegg- Inndata GoF'!F35)*ROUNDDOWN('Tillegg- Inndata GoF'!I35,0)*(1+'Tillegg- Inndata GoF'!K35))</f>
        <v/>
      </c>
    </row>
    <row r="36" spans="2:39">
      <c r="B36" s="327">
        <f>'Tillegg- Inndata GoF'!B34</f>
        <v>0</v>
      </c>
      <c r="C36" s="328">
        <f>'Tillegg- Inndata GoF'!C34</f>
        <v>0</v>
      </c>
      <c r="D36" s="329">
        <f>'Tillegg- Inndata GoF'!D34</f>
        <v>0</v>
      </c>
      <c r="E36" s="661" cm="1">
        <f t="array" ref="E36">SUM(IFERROR(F36:AF36,0))</f>
        <v>0</v>
      </c>
      <c r="F36" s="330">
        <f>'Tillegg- Inndata GoF'!E34</f>
        <v>0</v>
      </c>
      <c r="G36" s="330">
        <f>IF('Tillegg- Inndata GoF'!AB34="Ja", -0.8*'Tillegg- Res. detaljert GoF'!$F36, 0)</f>
        <v>0</v>
      </c>
      <c r="H36" s="330">
        <f>IF('Tillegg- Inndata GoF'!AC34="Ja", -0.4*'Tillegg- Res. detaljert GoF'!$F36, 0)</f>
        <v>0</v>
      </c>
      <c r="I36" s="330">
        <f>IF('Tillegg- Inndata GoF'!AD34="Ja", -1*'Tillegg- Res. detaljert GoF'!$F36, 0)</f>
        <v>0</v>
      </c>
      <c r="J36" s="330">
        <f>'Tillegg- Inndata GoF'!O34*'Tillegg- Inndata GoF'!P34</f>
        <v>0</v>
      </c>
      <c r="K36" s="330">
        <f>MAX(-0.75*(SUM('Tillegg- Res. detaljert GoF'!F36:J36)),-'Tillegg- Inndata GoF'!O34*'Tillegg- Inndata GoF'!Q34)</f>
        <v>0</v>
      </c>
      <c r="L36" s="330">
        <f>'Tillegg- Inndata GoF'!S34*'Tillegg- Inndata GoF'!T34</f>
        <v>0</v>
      </c>
      <c r="M36" s="330">
        <f>MAX(-0.75*(SUM('Tillegg- Res. detaljert GoF'!F36:I36,L36)),-'Tillegg- Inndata GoF'!S34*'Tillegg- Inndata GoF'!U34)</f>
        <v>0</v>
      </c>
      <c r="N36" s="331">
        <f>'Tillegg- Inndata GoF'!F34</f>
        <v>0</v>
      </c>
      <c r="O36" s="330">
        <f>'Tillegg- Inndata GoF'!O34*'Tillegg- Inndata GoF'!R34</f>
        <v>0</v>
      </c>
      <c r="P36" s="332">
        <f>'Tillegg- Inndata GoF'!S34*'Tillegg- Inndata GoF'!V34</f>
        <v>0</v>
      </c>
      <c r="Q36" s="333">
        <f>SUM(F36:J36,L36)*'Tillegg- Inndata GoF'!K34</f>
        <v>0</v>
      </c>
      <c r="R36" s="333">
        <f>(K36+M36)*'Tillegg- Inndata GoF'!K34</f>
        <v>0</v>
      </c>
      <c r="S36" s="333">
        <f>SUM(N36:P36)*'Tillegg- Inndata GoF'!K34</f>
        <v>0</v>
      </c>
      <c r="T36" s="334">
        <f>('Tillegg- Inndata GoF'!G34+'Tillegg- Inndata GoF'!O34+'Tillegg- Inndata GoF'!S34)*'Tillegg- Inndata GoF'!K34*Transport_utslipp_til_avfallshånderting_per_kg</f>
        <v>0</v>
      </c>
      <c r="U36" s="330">
        <f>IF('Tillegg- Inndata GoF'!E34 = 0, 0, 1.833*'Tillegg- Inndata GoF'!X34*'Tillegg- Inndata GoF'!K34*('Tillegg- Inndata GoF'!G34*('Tillegg- Inndata GoF'!L34*0.5+'Tillegg- Inndata GoF'!M34*0.8) + (12/44)*('Tillegg- Inndata GoF'!O34*'Tillegg- Inndata GoF'!Q34+'Tillegg- Inndata GoF'!S34*'Tillegg- Inndata GoF'!U34)))</f>
        <v>0</v>
      </c>
      <c r="V36" s="335">
        <f>IF('Tillegg- Inndata GoF'!G34 = 0, 0,  MAX(-SUM(F36:J36,L36)*'Tillegg- Inndata GoF'!L34, -0.114*IF('Tillegg- Inndata GoF'!H34 &gt; 49, _xlfn.XLOOKUP(49, År_etter_ferdigstillelse, karbon_opptak_faktor), _xlfn.XLOOKUP('Tillegg- Inndata GoF'!H34, År_etter_ferdigstillelse, karbon_opptak_faktor))*'Tillegg- Inndata GoF'!G34*'Tillegg- Inndata GoF'!L34*0.5))</f>
        <v>0</v>
      </c>
      <c r="W36" s="333">
        <f>IF('Tillegg- Inndata GoF'!G34=0,0,IF('Tillegg- Inndata GoF'!H34&gt;49,-0.064*'Tillegg- Inndata GoF'!G34*'Tillegg- Inndata GoF'!N34,-0.037*'Tillegg- Inndata GoF'!J34*'Tillegg- Inndata GoF'!N34))</f>
        <v>0</v>
      </c>
      <c r="X36" s="331" cm="1">
        <f t="array" ref="X36">IF(SUM(F36:J36,L36)=0, 0, SUM(F36:J36,L36)*(1+'Tillegg-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Y36" s="330" cm="1">
        <f t="array" ref="Y36">IF(X36=0, 0, SUM(K36,M36)*(1+'Tillegg-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Z36" s="336" cm="1">
        <f t="array" ref="Z36">IF(X36=0, 0, SUM(N36:P36)*(1+'Tillegg-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AA36" s="336" cm="1">
        <f t="array" ref="AA36">IF(X36=0, 0, ('Tillegg- Inndata GoF'!G34+'Tillegg- Inndata GoF'!O34+'Tillegg- Inndata GoF'!S34)*(1+'Tillegg- Inndata GoF'!K34)*Transport_utslipp_til_avfallshånderting_per_kg*IF('Tillegg- Inndata GoF'!H34&gt;50, 0, _xlfn.XLOOKUP('Tillegg- Inndata GoF'!H34, År_etter_ferdigstillelse, IF(VALUE(LEFT('Tillegg- Inndata GoF'!B34, 2))= 49, f_tid_x_f_tek_d_0_037_kumulativ, f_tid_x_f_tek_d_0_01_kumulativ))))</f>
        <v>0</v>
      </c>
      <c r="AB36" s="334" cm="1">
        <f t="array" ref="AB36">IF(X36=0, 0,1.833*'Tillegg- Inndata GoF'!J34*('Tillegg- Inndata GoF'!X34*_xlfn.XLOOKUP(IF('Tillegg- Inndata GoF'!I34&lt;2,'Tillegg- Inndata GoF'!H34,'Tillegg- Inndata GoF'!H34*2), År_etter_ferdigstillelse, Faktorer!$Z$7:$Z$58))*('Tillegg- Inndata GoF'!L34*0.5+'Tillegg- Inndata GoF'!M34*0.8)*_xlfn.XLOOKUP(IF('Tillegg- Inndata GoF'!I34&lt;2,'Tillegg- Inndata GoF'!H34,'Tillegg- Inndata GoF'!H34*2), År_etter_ferdigstillelse,  IF(LEFT('Tillegg- Inndata GoF'!B34, 2)= 49, f_tid_x_f_tek_d_0_037, f_tid_x_f_tek_d_0_01)))</f>
        <v>0</v>
      </c>
      <c r="AC36" s="335">
        <f>IF(('Tillegg- Inndata GoF'!G34) = 0, 0,(('Tillegg- Inndata GoF'!G34)*((AG36+AI36)*Transport_utslipp_til_avfallshånderting_per_kg)+('Tillegg- Inndata GoF'!Z34*'ZERO-B Beregning'!D136)*IF('ZERO-B Beregning'!F137=0,'ZERO-B Beregning'!D137,'ZERO-B Beregning'!F137))*_xlfn.XLOOKUP(51, År_etter_ferdigstillelse, f_tid_x_f_tek_d_0_01))</f>
        <v>0</v>
      </c>
      <c r="AD36" s="337">
        <f>IF(('Tillegg- Inndata GoF'!G34) = 0, 0,1.833*('Tillegg- Inndata GoF'!G34*('Tillegg- Inndata GoF'!L34*0.5+'Tillegg- Inndata GoF'!M34*0.8)*AG36*_xlfn.XLOOKUP(51, År_etter_ferdigstillelse,  f_tid_x_f_tek_d_0_01)))</f>
        <v>0</v>
      </c>
      <c r="AE36" s="333" cm="1">
        <f t="array" ref="AE36">IF(('Tillegg- Inndata GoF'!G34) = 0, 0,-0.8*('Tillegg- Inndata GoF'!G34)*AH36*('Tillegg- Inndata GoF'!E34/'Tillegg- Inndata GoF'!G34)*_xlfn.XLOOKUP(51, År_etter_ferdigstillelse,  IF(LEFT('Tillegg- Inndata GoF'!B34, 2)= 49, f_tid_x_f_tek_d_0_037, f_tid_x_f_tek_d_0_01)))</f>
        <v>0</v>
      </c>
      <c r="AF36" s="338" cm="1">
        <f t="array" ref="AF36">IF(('Tillegg- Inndata GoF'!G34) = 0, 0,-0.1*('Tillegg- Inndata GoF'!G34)*AI36*('Tillegg- Inndata GoF'!E34/'Tillegg- Inndata GoF'!G34)*_xlfn.XLOOKUP(51, År_etter_ferdigstillelse,  IF(LEFT('Tillegg- Inndata GoF'!B34, 2)= 49, f_tid_x_f_tek_d_0_037, f_tid_x_f_tek_d_0_01)))</f>
        <v>0</v>
      </c>
      <c r="AG36" s="572">
        <f>IF(('Tillegg- Inndata GoF'!G34) = 0, 0,'Tillegg- Inndata GoF'!X34*Faktorer!$Z$58)</f>
        <v>0</v>
      </c>
      <c r="AH36" s="573">
        <f>IF(('Tillegg- Inndata GoF'!G34) = 0, 0,'Tillegg- Inndata GoF'!Z34+('Tillegg- Inndata GoF'!X34+'Tillegg- Inndata GoF'!Y34)*(1-Faktorer!$Z$58)*0.5)</f>
        <v>0</v>
      </c>
      <c r="AI36" s="574">
        <f>IF(('Tillegg- Inndata GoF'!G34) = 0, 0,'Tillegg- Inndata GoF'!AA34+('Tillegg- Inndata GoF'!X34+'Tillegg- Inndata GoF'!Y34)*(1-Faktorer!$Z$58)*0.5)</f>
        <v>0</v>
      </c>
      <c r="AK36" s="90">
        <f t="shared" si="1"/>
        <v>0</v>
      </c>
      <c r="AL36" s="91">
        <f>'Tillegg- Res. detaljert GoF'!N36</f>
        <v>0</v>
      </c>
      <c r="AM36" s="91" t="str">
        <f>IF(F36=0,"",('Tillegg- Inndata GoF'!E36+'Tillegg- Inndata GoF'!F36)*ROUNDDOWN('Tillegg- Inndata GoF'!I36,0)*(1+'Tillegg- Inndata GoF'!K36))</f>
        <v/>
      </c>
    </row>
    <row r="37" spans="2:39">
      <c r="B37" s="327">
        <f>'Tillegg- Inndata GoF'!B35</f>
        <v>0</v>
      </c>
      <c r="C37" s="328">
        <f>'Tillegg- Inndata GoF'!C35</f>
        <v>0</v>
      </c>
      <c r="D37" s="329">
        <f>'Tillegg- Inndata GoF'!D35</f>
        <v>0</v>
      </c>
      <c r="E37" s="661" cm="1">
        <f t="array" ref="E37">SUM(IFERROR(F37:AF37,0))</f>
        <v>0</v>
      </c>
      <c r="F37" s="330">
        <f>'Tillegg- Inndata GoF'!E35</f>
        <v>0</v>
      </c>
      <c r="G37" s="330">
        <f>IF('Tillegg- Inndata GoF'!AB35="Ja", -0.8*'Tillegg- Res. detaljert GoF'!$F37, 0)</f>
        <v>0</v>
      </c>
      <c r="H37" s="330">
        <f>IF('Tillegg- Inndata GoF'!AC35="Ja", -0.4*'Tillegg- Res. detaljert GoF'!$F37, 0)</f>
        <v>0</v>
      </c>
      <c r="I37" s="330">
        <f>IF('Tillegg- Inndata GoF'!AD35="Ja", -1*'Tillegg- Res. detaljert GoF'!$F37, 0)</f>
        <v>0</v>
      </c>
      <c r="J37" s="330">
        <f>'Tillegg- Inndata GoF'!O35*'Tillegg- Inndata GoF'!P35</f>
        <v>0</v>
      </c>
      <c r="K37" s="330">
        <f>MAX(-0.75*(SUM('Tillegg- Res. detaljert GoF'!F37:J37)),-'Tillegg- Inndata GoF'!O35*'Tillegg- Inndata GoF'!Q35)</f>
        <v>0</v>
      </c>
      <c r="L37" s="330">
        <f>'Tillegg- Inndata GoF'!S35*'Tillegg- Inndata GoF'!T35</f>
        <v>0</v>
      </c>
      <c r="M37" s="330">
        <f>MAX(-0.75*(SUM('Tillegg- Res. detaljert GoF'!F37:I37,L37)),-'Tillegg- Inndata GoF'!S35*'Tillegg- Inndata GoF'!U35)</f>
        <v>0</v>
      </c>
      <c r="N37" s="331">
        <f>'Tillegg- Inndata GoF'!F35</f>
        <v>0</v>
      </c>
      <c r="O37" s="330">
        <f>'Tillegg- Inndata GoF'!O35*'Tillegg- Inndata GoF'!R35</f>
        <v>0</v>
      </c>
      <c r="P37" s="332">
        <f>'Tillegg- Inndata GoF'!S35*'Tillegg- Inndata GoF'!V35</f>
        <v>0</v>
      </c>
      <c r="Q37" s="333">
        <f>SUM(F37:J37,L37)*'Tillegg- Inndata GoF'!K35</f>
        <v>0</v>
      </c>
      <c r="R37" s="333">
        <f>(K37+M37)*'Tillegg- Inndata GoF'!K35</f>
        <v>0</v>
      </c>
      <c r="S37" s="333">
        <f>SUM(N37:P37)*'Tillegg- Inndata GoF'!K35</f>
        <v>0</v>
      </c>
      <c r="T37" s="334">
        <f>('Tillegg- Inndata GoF'!G35+'Tillegg- Inndata GoF'!O35+'Tillegg- Inndata GoF'!S35)*'Tillegg- Inndata GoF'!K35*Transport_utslipp_til_avfallshånderting_per_kg</f>
        <v>0</v>
      </c>
      <c r="U37" s="330">
        <f>IF('Tillegg- Inndata GoF'!E35 = 0, 0, 1.833*'Tillegg- Inndata GoF'!X35*'Tillegg- Inndata GoF'!K35*('Tillegg- Inndata GoF'!G35*('Tillegg- Inndata GoF'!L35*0.5+'Tillegg- Inndata GoF'!M35*0.8) + (12/44)*('Tillegg- Inndata GoF'!O35*'Tillegg- Inndata GoF'!Q35+'Tillegg- Inndata GoF'!S35*'Tillegg- Inndata GoF'!U35)))</f>
        <v>0</v>
      </c>
      <c r="V37" s="335">
        <f>IF('Tillegg- Inndata GoF'!G35 = 0, 0,  MAX(-SUM(F37:J37,L37)*'Tillegg- Inndata GoF'!L35, -0.114*IF('Tillegg- Inndata GoF'!H35 &gt; 49, _xlfn.XLOOKUP(49, År_etter_ferdigstillelse, karbon_opptak_faktor), _xlfn.XLOOKUP('Tillegg- Inndata GoF'!H35, År_etter_ferdigstillelse, karbon_opptak_faktor))*'Tillegg- Inndata GoF'!G35*'Tillegg- Inndata GoF'!L35*0.5))</f>
        <v>0</v>
      </c>
      <c r="W37" s="333">
        <f>IF('Tillegg- Inndata GoF'!G35=0,0,IF('Tillegg- Inndata GoF'!H35&gt;49,-0.064*'Tillegg- Inndata GoF'!G35*'Tillegg- Inndata GoF'!N35,-0.037*'Tillegg- Inndata GoF'!J35*'Tillegg- Inndata GoF'!N35))</f>
        <v>0</v>
      </c>
      <c r="X37" s="331" cm="1">
        <f t="array" ref="X37">IF(SUM(F37:J37,L37)=0, 0, SUM(F37:J37,L37)*(1+'Tillegg-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Y37" s="330" cm="1">
        <f t="array" ref="Y37">IF(X37=0, 0, SUM(K37,M37)*(1+'Tillegg-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Z37" s="336" cm="1">
        <f t="array" ref="Z37">IF(X37=0, 0, SUM(N37:P37)*(1+'Tillegg-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AA37" s="336" cm="1">
        <f t="array" ref="AA37">IF(X37=0, 0, ('Tillegg- Inndata GoF'!G35+'Tillegg- Inndata GoF'!O35+'Tillegg- Inndata GoF'!S35)*(1+'Tillegg- Inndata GoF'!K35)*Transport_utslipp_til_avfallshånderting_per_kg*IF('Tillegg- Inndata GoF'!H35&gt;50, 0, _xlfn.XLOOKUP('Tillegg- Inndata GoF'!H35, År_etter_ferdigstillelse, IF(VALUE(LEFT('Tillegg- Inndata GoF'!B35, 2))= 49, f_tid_x_f_tek_d_0_037_kumulativ, f_tid_x_f_tek_d_0_01_kumulativ))))</f>
        <v>0</v>
      </c>
      <c r="AB37" s="334" cm="1">
        <f t="array" ref="AB37">IF(X37=0, 0,1.833*'Tillegg- Inndata GoF'!J35*('Tillegg- Inndata GoF'!X35*_xlfn.XLOOKUP(IF('Tillegg- Inndata GoF'!I35&lt;2,'Tillegg- Inndata GoF'!H35,'Tillegg- Inndata GoF'!H35*2), År_etter_ferdigstillelse, Faktorer!$Z$7:$Z$58))*('Tillegg- Inndata GoF'!L35*0.5+'Tillegg- Inndata GoF'!M35*0.8)*_xlfn.XLOOKUP(IF('Tillegg- Inndata GoF'!I35&lt;2,'Tillegg- Inndata GoF'!H35,'Tillegg- Inndata GoF'!H35*2), År_etter_ferdigstillelse,  IF(LEFT('Tillegg- Inndata GoF'!B35, 2)= 49, f_tid_x_f_tek_d_0_037, f_tid_x_f_tek_d_0_01)))</f>
        <v>0</v>
      </c>
      <c r="AC37" s="335">
        <f>IF(('Tillegg- Inndata GoF'!G35) = 0, 0,(('Tillegg- Inndata GoF'!G35)*((AG37+AI37)*Transport_utslipp_til_avfallshånderting_per_kg)+('Tillegg- Inndata GoF'!Z35*'ZERO-B Beregning'!D137)*IF('ZERO-B Beregning'!F138=0,'ZERO-B Beregning'!D138,'ZERO-B Beregning'!F138))*_xlfn.XLOOKUP(51, År_etter_ferdigstillelse, f_tid_x_f_tek_d_0_01))</f>
        <v>0</v>
      </c>
      <c r="AD37" s="337">
        <f>IF(('Tillegg- Inndata GoF'!G35) = 0, 0,1.833*('Tillegg- Inndata GoF'!G35*('Tillegg- Inndata GoF'!L35*0.5+'Tillegg- Inndata GoF'!M35*0.8)*AG37*_xlfn.XLOOKUP(51, År_etter_ferdigstillelse,  f_tid_x_f_tek_d_0_01)))</f>
        <v>0</v>
      </c>
      <c r="AE37" s="333" cm="1">
        <f t="array" ref="AE37">IF(('Tillegg- Inndata GoF'!G35) = 0, 0,-0.8*('Tillegg- Inndata GoF'!G35)*AH37*('Tillegg- Inndata GoF'!E35/'Tillegg- Inndata GoF'!G35)*_xlfn.XLOOKUP(51, År_etter_ferdigstillelse,  IF(LEFT('Tillegg- Inndata GoF'!B35, 2)= 49, f_tid_x_f_tek_d_0_037, f_tid_x_f_tek_d_0_01)))</f>
        <v>0</v>
      </c>
      <c r="AF37" s="338" cm="1">
        <f t="array" ref="AF37">IF(('Tillegg- Inndata GoF'!G35) = 0, 0,-0.1*('Tillegg- Inndata GoF'!G35)*AI37*('Tillegg- Inndata GoF'!E35/'Tillegg- Inndata GoF'!G35)*_xlfn.XLOOKUP(51, År_etter_ferdigstillelse,  IF(LEFT('Tillegg- Inndata GoF'!B35, 2)= 49, f_tid_x_f_tek_d_0_037, f_tid_x_f_tek_d_0_01)))</f>
        <v>0</v>
      </c>
      <c r="AG37" s="572">
        <f>IF(('Tillegg- Inndata GoF'!G35) = 0, 0,'Tillegg- Inndata GoF'!X35*Faktorer!$Z$58)</f>
        <v>0</v>
      </c>
      <c r="AH37" s="573">
        <f>IF(('Tillegg- Inndata GoF'!G35) = 0, 0,'Tillegg- Inndata GoF'!Z35+('Tillegg- Inndata GoF'!X35+'Tillegg- Inndata GoF'!Y35)*(1-Faktorer!$Z$58)*0.5)</f>
        <v>0</v>
      </c>
      <c r="AI37" s="574">
        <f>IF(('Tillegg- Inndata GoF'!G35) = 0, 0,'Tillegg- Inndata GoF'!AA35+('Tillegg- Inndata GoF'!X35+'Tillegg- Inndata GoF'!Y35)*(1-Faktorer!$Z$58)*0.5)</f>
        <v>0</v>
      </c>
      <c r="AK37" s="90">
        <f t="shared" si="1"/>
        <v>0</v>
      </c>
      <c r="AL37" s="91">
        <f>'Tillegg- Res. detaljert GoF'!N37</f>
        <v>0</v>
      </c>
      <c r="AM37" s="91" t="str">
        <f>IF(F37=0,"",('Tillegg- Inndata GoF'!E37+'Tillegg- Inndata GoF'!F37)*ROUNDDOWN('Tillegg- Inndata GoF'!I37,0)*(1+'Tillegg- Inndata GoF'!K37))</f>
        <v/>
      </c>
    </row>
    <row r="38" spans="2:39">
      <c r="B38" s="327">
        <f>'Tillegg- Inndata GoF'!B36</f>
        <v>0</v>
      </c>
      <c r="C38" s="328">
        <f>'Tillegg- Inndata GoF'!C36</f>
        <v>0</v>
      </c>
      <c r="D38" s="329">
        <f>'Tillegg- Inndata GoF'!D36</f>
        <v>0</v>
      </c>
      <c r="E38" s="661" cm="1">
        <f t="array" ref="E38">SUM(IFERROR(F38:AF38,0))</f>
        <v>0</v>
      </c>
      <c r="F38" s="330">
        <f>'Tillegg- Inndata GoF'!E36</f>
        <v>0</v>
      </c>
      <c r="G38" s="330">
        <f>IF('Tillegg- Inndata GoF'!AB36="Ja", -0.8*'Tillegg- Res. detaljert GoF'!$F38, 0)</f>
        <v>0</v>
      </c>
      <c r="H38" s="330">
        <f>IF('Tillegg- Inndata GoF'!AC36="Ja", -0.4*'Tillegg- Res. detaljert GoF'!$F38, 0)</f>
        <v>0</v>
      </c>
      <c r="I38" s="330">
        <f>IF('Tillegg- Inndata GoF'!AD36="Ja", -1*'Tillegg- Res. detaljert GoF'!$F38, 0)</f>
        <v>0</v>
      </c>
      <c r="J38" s="330">
        <f>'Tillegg- Inndata GoF'!O36*'Tillegg- Inndata GoF'!P36</f>
        <v>0</v>
      </c>
      <c r="K38" s="330">
        <f>MAX(-0.75*(SUM('Tillegg- Res. detaljert GoF'!F38:J38)),-'Tillegg- Inndata GoF'!O36*'Tillegg- Inndata GoF'!Q36)</f>
        <v>0</v>
      </c>
      <c r="L38" s="330">
        <f>'Tillegg- Inndata GoF'!S36*'Tillegg- Inndata GoF'!T36</f>
        <v>0</v>
      </c>
      <c r="M38" s="330">
        <f>MAX(-0.75*(SUM('Tillegg- Res. detaljert GoF'!F38:I38,L38)),-'Tillegg- Inndata GoF'!S36*'Tillegg- Inndata GoF'!U36)</f>
        <v>0</v>
      </c>
      <c r="N38" s="331">
        <f>'Tillegg- Inndata GoF'!F36</f>
        <v>0</v>
      </c>
      <c r="O38" s="330">
        <f>'Tillegg- Inndata GoF'!O36*'Tillegg- Inndata GoF'!R36</f>
        <v>0</v>
      </c>
      <c r="P38" s="332">
        <f>'Tillegg- Inndata GoF'!S36*'Tillegg- Inndata GoF'!V36</f>
        <v>0</v>
      </c>
      <c r="Q38" s="333">
        <f>SUM(F38:J38,L38)*'Tillegg- Inndata GoF'!K36</f>
        <v>0</v>
      </c>
      <c r="R38" s="333">
        <f>(K38+M38)*'Tillegg- Inndata GoF'!K36</f>
        <v>0</v>
      </c>
      <c r="S38" s="333">
        <f>SUM(N38:P38)*'Tillegg- Inndata GoF'!K36</f>
        <v>0</v>
      </c>
      <c r="T38" s="334">
        <f>('Tillegg- Inndata GoF'!G36+'Tillegg- Inndata GoF'!O36+'Tillegg- Inndata GoF'!S36)*'Tillegg- Inndata GoF'!K36*Transport_utslipp_til_avfallshånderting_per_kg</f>
        <v>0</v>
      </c>
      <c r="U38" s="330">
        <f>IF('Tillegg- Inndata GoF'!E36 = 0, 0, 1.833*'Tillegg- Inndata GoF'!X36*'Tillegg- Inndata GoF'!K36*('Tillegg- Inndata GoF'!G36*('Tillegg- Inndata GoF'!L36*0.5+'Tillegg- Inndata GoF'!M36*0.8) + (12/44)*('Tillegg- Inndata GoF'!O36*'Tillegg- Inndata GoF'!Q36+'Tillegg- Inndata GoF'!S36*'Tillegg- Inndata GoF'!U36)))</f>
        <v>0</v>
      </c>
      <c r="V38" s="335">
        <f>IF('Tillegg- Inndata GoF'!G36 = 0, 0,  MAX(-SUM(F38:J38,L38)*'Tillegg- Inndata GoF'!L36, -0.114*IF('Tillegg- Inndata GoF'!H36 &gt; 49, _xlfn.XLOOKUP(49, År_etter_ferdigstillelse, karbon_opptak_faktor), _xlfn.XLOOKUP('Tillegg- Inndata GoF'!H36, År_etter_ferdigstillelse, karbon_opptak_faktor))*'Tillegg- Inndata GoF'!G36*'Tillegg- Inndata GoF'!L36*0.5))</f>
        <v>0</v>
      </c>
      <c r="W38" s="333">
        <f>IF('Tillegg- Inndata GoF'!G36=0,0,IF('Tillegg- Inndata GoF'!H36&gt;49,-0.064*'Tillegg- Inndata GoF'!G36*'Tillegg- Inndata GoF'!N36,-0.037*'Tillegg- Inndata GoF'!J36*'Tillegg- Inndata GoF'!N36))</f>
        <v>0</v>
      </c>
      <c r="X38" s="331" cm="1">
        <f t="array" ref="X38">IF(SUM(F38:J38,L38)=0, 0, SUM(F38:J38,L38)*(1+'Tillegg-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Y38" s="330" cm="1">
        <f t="array" ref="Y38">IF(X38=0, 0, SUM(K38,M38)*(1+'Tillegg-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Z38" s="336" cm="1">
        <f t="array" ref="Z38">IF(X38=0, 0, SUM(N38:P38)*(1+'Tillegg-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AA38" s="336" cm="1">
        <f t="array" ref="AA38">IF(X38=0, 0, ('Tillegg- Inndata GoF'!G36+'Tillegg- Inndata GoF'!O36+'Tillegg- Inndata GoF'!S36)*(1+'Tillegg- Inndata GoF'!K36)*Transport_utslipp_til_avfallshånderting_per_kg*IF('Tillegg- Inndata GoF'!H36&gt;50, 0, _xlfn.XLOOKUP('Tillegg- Inndata GoF'!H36, År_etter_ferdigstillelse, IF(VALUE(LEFT('Tillegg- Inndata GoF'!B36, 2))= 49, f_tid_x_f_tek_d_0_037_kumulativ, f_tid_x_f_tek_d_0_01_kumulativ))))</f>
        <v>0</v>
      </c>
      <c r="AB38" s="334" cm="1">
        <f t="array" ref="AB38">IF(X38=0, 0,1.833*'Tillegg- Inndata GoF'!J36*('Tillegg- Inndata GoF'!X36*_xlfn.XLOOKUP(IF('Tillegg- Inndata GoF'!I36&lt;2,'Tillegg- Inndata GoF'!H36,'Tillegg- Inndata GoF'!H36*2), År_etter_ferdigstillelse, Faktorer!$Z$7:$Z$58))*('Tillegg- Inndata GoF'!L36*0.5+'Tillegg- Inndata GoF'!M36*0.8)*_xlfn.XLOOKUP(IF('Tillegg- Inndata GoF'!I36&lt;2,'Tillegg- Inndata GoF'!H36,'Tillegg- Inndata GoF'!H36*2), År_etter_ferdigstillelse,  IF(LEFT('Tillegg- Inndata GoF'!B36, 2)= 49, f_tid_x_f_tek_d_0_037, f_tid_x_f_tek_d_0_01)))</f>
        <v>0</v>
      </c>
      <c r="AC38" s="335">
        <f>IF(('Tillegg- Inndata GoF'!G36) = 0, 0,(('Tillegg- Inndata GoF'!G36)*((AG38+AI38)*Transport_utslipp_til_avfallshånderting_per_kg)+('Tillegg- Inndata GoF'!Z36*'ZERO-B Beregning'!D138)*IF('ZERO-B Beregning'!F139=0,'ZERO-B Beregning'!D139,'ZERO-B Beregning'!F139))*_xlfn.XLOOKUP(51, År_etter_ferdigstillelse, f_tid_x_f_tek_d_0_01))</f>
        <v>0</v>
      </c>
      <c r="AD38" s="337">
        <f>IF(('Tillegg- Inndata GoF'!G36) = 0, 0,1.833*('Tillegg- Inndata GoF'!G36*('Tillegg- Inndata GoF'!L36*0.5+'Tillegg- Inndata GoF'!M36*0.8)*AG38*_xlfn.XLOOKUP(51, År_etter_ferdigstillelse,  f_tid_x_f_tek_d_0_01)))</f>
        <v>0</v>
      </c>
      <c r="AE38" s="333" cm="1">
        <f t="array" ref="AE38">IF(('Tillegg- Inndata GoF'!G36) = 0, 0,-0.8*('Tillegg- Inndata GoF'!G36)*AH38*('Tillegg- Inndata GoF'!E36/'Tillegg- Inndata GoF'!G36)*_xlfn.XLOOKUP(51, År_etter_ferdigstillelse,  IF(LEFT('Tillegg- Inndata GoF'!B36, 2)= 49, f_tid_x_f_tek_d_0_037, f_tid_x_f_tek_d_0_01)))</f>
        <v>0</v>
      </c>
      <c r="AF38" s="338" cm="1">
        <f t="array" ref="AF38">IF(('Tillegg- Inndata GoF'!G36) = 0, 0,-0.1*('Tillegg- Inndata GoF'!G36)*AI38*('Tillegg- Inndata GoF'!E36/'Tillegg- Inndata GoF'!G36)*_xlfn.XLOOKUP(51, År_etter_ferdigstillelse,  IF(LEFT('Tillegg- Inndata GoF'!B36, 2)= 49, f_tid_x_f_tek_d_0_037, f_tid_x_f_tek_d_0_01)))</f>
        <v>0</v>
      </c>
      <c r="AG38" s="572">
        <f>IF(('Tillegg- Inndata GoF'!G36) = 0, 0,'Tillegg- Inndata GoF'!X36*Faktorer!$Z$58)</f>
        <v>0</v>
      </c>
      <c r="AH38" s="573">
        <f>IF(('Tillegg- Inndata GoF'!G36) = 0, 0,'Tillegg- Inndata GoF'!Z36+('Tillegg- Inndata GoF'!X36+'Tillegg- Inndata GoF'!Y36)*(1-Faktorer!$Z$58)*0.5)</f>
        <v>0</v>
      </c>
      <c r="AI38" s="574">
        <f>IF(('Tillegg- Inndata GoF'!G36) = 0, 0,'Tillegg- Inndata GoF'!AA36+('Tillegg- Inndata GoF'!X36+'Tillegg- Inndata GoF'!Y36)*(1-Faktorer!$Z$58)*0.5)</f>
        <v>0</v>
      </c>
      <c r="AK38" s="90">
        <f t="shared" si="1"/>
        <v>0</v>
      </c>
      <c r="AL38" s="91">
        <f>'Tillegg- Res. detaljert GoF'!N38</f>
        <v>0</v>
      </c>
      <c r="AM38" s="91" t="str">
        <f>IF(F38=0,"",('Tillegg- Inndata GoF'!E38+'Tillegg- Inndata GoF'!F38)*ROUNDDOWN('Tillegg- Inndata GoF'!I38,0)*(1+'Tillegg- Inndata GoF'!K38))</f>
        <v/>
      </c>
    </row>
    <row r="39" spans="2:39">
      <c r="B39" s="327">
        <f>'Tillegg- Inndata GoF'!B37</f>
        <v>0</v>
      </c>
      <c r="C39" s="328">
        <f>'Tillegg- Inndata GoF'!C37</f>
        <v>0</v>
      </c>
      <c r="D39" s="329">
        <f>'Tillegg- Inndata GoF'!D37</f>
        <v>0</v>
      </c>
      <c r="E39" s="661" cm="1">
        <f t="array" ref="E39">SUM(IFERROR(F39:AF39,0))</f>
        <v>0</v>
      </c>
      <c r="F39" s="330">
        <f>'Tillegg- Inndata GoF'!E37</f>
        <v>0</v>
      </c>
      <c r="G39" s="330">
        <f>IF('Tillegg- Inndata GoF'!AB37="Ja", -0.8*'Tillegg- Res. detaljert GoF'!$F39, 0)</f>
        <v>0</v>
      </c>
      <c r="H39" s="330">
        <f>IF('Tillegg- Inndata GoF'!AC37="Ja", -0.4*'Tillegg- Res. detaljert GoF'!$F39, 0)</f>
        <v>0</v>
      </c>
      <c r="I39" s="330">
        <f>IF('Tillegg- Inndata GoF'!AD37="Ja", -1*'Tillegg- Res. detaljert GoF'!$F39, 0)</f>
        <v>0</v>
      </c>
      <c r="J39" s="330">
        <f>'Tillegg- Inndata GoF'!O37*'Tillegg- Inndata GoF'!P37</f>
        <v>0</v>
      </c>
      <c r="K39" s="330">
        <f>MAX(-0.75*(SUM('Tillegg- Res. detaljert GoF'!F39:J39)),-'Tillegg- Inndata GoF'!O37*'Tillegg- Inndata GoF'!Q37)</f>
        <v>0</v>
      </c>
      <c r="L39" s="330">
        <f>'Tillegg- Inndata GoF'!S37*'Tillegg- Inndata GoF'!T37</f>
        <v>0</v>
      </c>
      <c r="M39" s="330">
        <f>MAX(-0.75*(SUM('Tillegg- Res. detaljert GoF'!F39:I39,L39)),-'Tillegg- Inndata GoF'!S37*'Tillegg- Inndata GoF'!U37)</f>
        <v>0</v>
      </c>
      <c r="N39" s="331">
        <f>'Tillegg- Inndata GoF'!F37</f>
        <v>0</v>
      </c>
      <c r="O39" s="330">
        <f>'Tillegg- Inndata GoF'!O37*'Tillegg- Inndata GoF'!R37</f>
        <v>0</v>
      </c>
      <c r="P39" s="332">
        <f>'Tillegg- Inndata GoF'!S37*'Tillegg- Inndata GoF'!V37</f>
        <v>0</v>
      </c>
      <c r="Q39" s="333">
        <f>SUM(F39:J39,L39)*'Tillegg- Inndata GoF'!K37</f>
        <v>0</v>
      </c>
      <c r="R39" s="333">
        <f>(K39+M39)*'Tillegg- Inndata GoF'!K37</f>
        <v>0</v>
      </c>
      <c r="S39" s="333">
        <f>SUM(N39:P39)*'Tillegg- Inndata GoF'!K37</f>
        <v>0</v>
      </c>
      <c r="T39" s="334">
        <f>('Tillegg- Inndata GoF'!G37+'Tillegg- Inndata GoF'!O37+'Tillegg- Inndata GoF'!S37)*'Tillegg- Inndata GoF'!K37*Transport_utslipp_til_avfallshånderting_per_kg</f>
        <v>0</v>
      </c>
      <c r="U39" s="330">
        <f>IF('Tillegg- Inndata GoF'!E37 = 0, 0, 1.833*'Tillegg- Inndata GoF'!X37*'Tillegg- Inndata GoF'!K37*('Tillegg- Inndata GoF'!G37*('Tillegg- Inndata GoF'!L37*0.5+'Tillegg- Inndata GoF'!M37*0.8) + (12/44)*('Tillegg- Inndata GoF'!O37*'Tillegg- Inndata GoF'!Q37+'Tillegg- Inndata GoF'!S37*'Tillegg- Inndata GoF'!U37)))</f>
        <v>0</v>
      </c>
      <c r="V39" s="335">
        <f>IF('Tillegg- Inndata GoF'!G37 = 0, 0,  MAX(-SUM(F39:J39,L39)*'Tillegg- Inndata GoF'!L37, -0.114*IF('Tillegg- Inndata GoF'!H37 &gt; 49, _xlfn.XLOOKUP(49, År_etter_ferdigstillelse, karbon_opptak_faktor), _xlfn.XLOOKUP('Tillegg- Inndata GoF'!H37, År_etter_ferdigstillelse, karbon_opptak_faktor))*'Tillegg- Inndata GoF'!G37*'Tillegg- Inndata GoF'!L37*0.5))</f>
        <v>0</v>
      </c>
      <c r="W39" s="333">
        <f>IF('Tillegg- Inndata GoF'!G37=0,0,IF('Tillegg- Inndata GoF'!H37&gt;49,-0.064*'Tillegg- Inndata GoF'!G37*'Tillegg- Inndata GoF'!N37,-0.037*'Tillegg- Inndata GoF'!J37*'Tillegg- Inndata GoF'!N37))</f>
        <v>0</v>
      </c>
      <c r="X39" s="331" cm="1">
        <f t="array" ref="X39">IF(SUM(F39:J39,L39)=0, 0, SUM(F39:J39,L39)*(1+'Tillegg-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Y39" s="330" cm="1">
        <f t="array" ref="Y39">IF(X39=0, 0, SUM(K39,M39)*(1+'Tillegg-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Z39" s="336" cm="1">
        <f t="array" ref="Z39">IF(X39=0, 0, SUM(N39:P39)*(1+'Tillegg-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AA39" s="336" cm="1">
        <f t="array" ref="AA39">IF(X39=0, 0, ('Tillegg- Inndata GoF'!G37+'Tillegg- Inndata GoF'!O37+'Tillegg- Inndata GoF'!S37)*(1+'Tillegg- Inndata GoF'!K37)*Transport_utslipp_til_avfallshånderting_per_kg*IF('Tillegg- Inndata GoF'!H37&gt;50, 0, _xlfn.XLOOKUP('Tillegg- Inndata GoF'!H37, År_etter_ferdigstillelse, IF(VALUE(LEFT('Tillegg- Inndata GoF'!B37, 2))= 49, f_tid_x_f_tek_d_0_037_kumulativ, f_tid_x_f_tek_d_0_01_kumulativ))))</f>
        <v>0</v>
      </c>
      <c r="AB39" s="334" cm="1">
        <f t="array" ref="AB39">IF(X39=0, 0,1.833*'Tillegg- Inndata GoF'!J37*('Tillegg- Inndata GoF'!X37*_xlfn.XLOOKUP(IF('Tillegg- Inndata GoF'!I37&lt;2,'Tillegg- Inndata GoF'!H37,'Tillegg- Inndata GoF'!H37*2), År_etter_ferdigstillelse, Faktorer!$Z$7:$Z$58))*('Tillegg- Inndata GoF'!L37*0.5+'Tillegg- Inndata GoF'!M37*0.8)*_xlfn.XLOOKUP(IF('Tillegg- Inndata GoF'!I37&lt;2,'Tillegg- Inndata GoF'!H37,'Tillegg- Inndata GoF'!H37*2), År_etter_ferdigstillelse,  IF(LEFT('Tillegg- Inndata GoF'!B37, 2)= 49, f_tid_x_f_tek_d_0_037, f_tid_x_f_tek_d_0_01)))</f>
        <v>0</v>
      </c>
      <c r="AC39" s="335">
        <f>IF(('Tillegg- Inndata GoF'!G37) = 0, 0,(('Tillegg- Inndata GoF'!G37)*((AG39+AI39)*Transport_utslipp_til_avfallshånderting_per_kg)+('Tillegg- Inndata GoF'!Z37*'ZERO-B Beregning'!D139)*IF('ZERO-B Beregning'!F140=0,'ZERO-B Beregning'!D140,'ZERO-B Beregning'!F140))*_xlfn.XLOOKUP(51, År_etter_ferdigstillelse, f_tid_x_f_tek_d_0_01))</f>
        <v>0</v>
      </c>
      <c r="AD39" s="337">
        <f>IF(('Tillegg- Inndata GoF'!G37) = 0, 0,1.833*('Tillegg- Inndata GoF'!G37*('Tillegg- Inndata GoF'!L37*0.5+'Tillegg- Inndata GoF'!M37*0.8)*AG39*_xlfn.XLOOKUP(51, År_etter_ferdigstillelse,  f_tid_x_f_tek_d_0_01)))</f>
        <v>0</v>
      </c>
      <c r="AE39" s="333" cm="1">
        <f t="array" ref="AE39">IF(('Tillegg- Inndata GoF'!G37) = 0, 0,-0.8*('Tillegg- Inndata GoF'!G37)*AH39*('Tillegg- Inndata GoF'!E37/'Tillegg- Inndata GoF'!G37)*_xlfn.XLOOKUP(51, År_etter_ferdigstillelse,  IF(LEFT('Tillegg- Inndata GoF'!B37, 2)= 49, f_tid_x_f_tek_d_0_037, f_tid_x_f_tek_d_0_01)))</f>
        <v>0</v>
      </c>
      <c r="AF39" s="338" cm="1">
        <f t="array" ref="AF39">IF(('Tillegg- Inndata GoF'!G37) = 0, 0,-0.1*('Tillegg- Inndata GoF'!G37)*AI39*('Tillegg- Inndata GoF'!E37/'Tillegg- Inndata GoF'!G37)*_xlfn.XLOOKUP(51, År_etter_ferdigstillelse,  IF(LEFT('Tillegg- Inndata GoF'!B37, 2)= 49, f_tid_x_f_tek_d_0_037, f_tid_x_f_tek_d_0_01)))</f>
        <v>0</v>
      </c>
      <c r="AG39" s="572">
        <f>IF(('Tillegg- Inndata GoF'!G37) = 0, 0,'Tillegg- Inndata GoF'!X37*Faktorer!$Z$58)</f>
        <v>0</v>
      </c>
      <c r="AH39" s="573">
        <f>IF(('Tillegg- Inndata GoF'!G37) = 0, 0,'Tillegg- Inndata GoF'!Z37+('Tillegg- Inndata GoF'!X37+'Tillegg- Inndata GoF'!Y37)*(1-Faktorer!$Z$58)*0.5)</f>
        <v>0</v>
      </c>
      <c r="AI39" s="574">
        <f>IF(('Tillegg- Inndata GoF'!G37) = 0, 0,'Tillegg- Inndata GoF'!AA37+('Tillegg- Inndata GoF'!X37+'Tillegg- Inndata GoF'!Y37)*(1-Faktorer!$Z$58)*0.5)</f>
        <v>0</v>
      </c>
      <c r="AK39" s="90">
        <f t="shared" si="1"/>
        <v>0</v>
      </c>
      <c r="AL39" s="91">
        <f>'Tillegg- Res. detaljert GoF'!N39</f>
        <v>0</v>
      </c>
      <c r="AM39" s="91" t="str">
        <f>IF(F39=0,"",('Tillegg- Inndata GoF'!E39+'Tillegg- Inndata GoF'!F39)*ROUNDDOWN('Tillegg- Inndata GoF'!I39,0)*(1+'Tillegg- Inndata GoF'!K39))</f>
        <v/>
      </c>
    </row>
    <row r="40" spans="2:39">
      <c r="B40" s="327">
        <f>'Tillegg- Inndata GoF'!B38</f>
        <v>0</v>
      </c>
      <c r="C40" s="328">
        <f>'Tillegg- Inndata GoF'!C38</f>
        <v>0</v>
      </c>
      <c r="D40" s="329">
        <f>'Tillegg- Inndata GoF'!D38</f>
        <v>0</v>
      </c>
      <c r="E40" s="661" cm="1">
        <f t="array" ref="E40">SUM(IFERROR(F40:AF40,0))</f>
        <v>0</v>
      </c>
      <c r="F40" s="330">
        <f>'Tillegg- Inndata GoF'!E38</f>
        <v>0</v>
      </c>
      <c r="G40" s="330">
        <f>IF('Tillegg- Inndata GoF'!AB38="Ja", -0.8*'Tillegg- Res. detaljert GoF'!$F40, 0)</f>
        <v>0</v>
      </c>
      <c r="H40" s="330">
        <f>IF('Tillegg- Inndata GoF'!AC38="Ja", -0.4*'Tillegg- Res. detaljert GoF'!$F40, 0)</f>
        <v>0</v>
      </c>
      <c r="I40" s="330">
        <f>IF('Tillegg- Inndata GoF'!AD38="Ja", -1*'Tillegg- Res. detaljert GoF'!$F40, 0)</f>
        <v>0</v>
      </c>
      <c r="J40" s="330">
        <f>'Tillegg- Inndata GoF'!O38*'Tillegg- Inndata GoF'!P38</f>
        <v>0</v>
      </c>
      <c r="K40" s="330">
        <f>MAX(-0.75*(SUM('Tillegg- Res. detaljert GoF'!F40:J40)),-'Tillegg- Inndata GoF'!O38*'Tillegg- Inndata GoF'!Q38)</f>
        <v>0</v>
      </c>
      <c r="L40" s="330">
        <f>'Tillegg- Inndata GoF'!S38*'Tillegg- Inndata GoF'!T38</f>
        <v>0</v>
      </c>
      <c r="M40" s="330">
        <f>MAX(-0.75*(SUM('Tillegg- Res. detaljert GoF'!F40:I40,L40)),-'Tillegg- Inndata GoF'!S38*'Tillegg- Inndata GoF'!U38)</f>
        <v>0</v>
      </c>
      <c r="N40" s="331">
        <f>'Tillegg- Inndata GoF'!F38</f>
        <v>0</v>
      </c>
      <c r="O40" s="330">
        <f>'Tillegg- Inndata GoF'!O38*'Tillegg- Inndata GoF'!R38</f>
        <v>0</v>
      </c>
      <c r="P40" s="332">
        <f>'Tillegg- Inndata GoF'!S38*'Tillegg- Inndata GoF'!V38</f>
        <v>0</v>
      </c>
      <c r="Q40" s="333">
        <f>SUM(F40:J40,L40)*'Tillegg- Inndata GoF'!K38</f>
        <v>0</v>
      </c>
      <c r="R40" s="333">
        <f>(K40+M40)*'Tillegg- Inndata GoF'!K38</f>
        <v>0</v>
      </c>
      <c r="S40" s="333">
        <f>SUM(N40:P40)*'Tillegg- Inndata GoF'!K38</f>
        <v>0</v>
      </c>
      <c r="T40" s="334">
        <f>('Tillegg- Inndata GoF'!G38+'Tillegg- Inndata GoF'!O38+'Tillegg- Inndata GoF'!S38)*'Tillegg- Inndata GoF'!K38*Transport_utslipp_til_avfallshånderting_per_kg</f>
        <v>0</v>
      </c>
      <c r="U40" s="330">
        <f>IF('Tillegg- Inndata GoF'!E38 = 0, 0, 1.833*'Tillegg- Inndata GoF'!X38*'Tillegg- Inndata GoF'!K38*('Tillegg- Inndata GoF'!G38*('Tillegg- Inndata GoF'!L38*0.5+'Tillegg- Inndata GoF'!M38*0.8) + (12/44)*('Tillegg- Inndata GoF'!O38*'Tillegg- Inndata GoF'!Q38+'Tillegg- Inndata GoF'!S38*'Tillegg- Inndata GoF'!U38)))</f>
        <v>0</v>
      </c>
      <c r="V40" s="335">
        <f>IF('Tillegg- Inndata GoF'!G38 = 0, 0,  MAX(-SUM(F40:J40,L40)*'Tillegg- Inndata GoF'!L38, -0.114*IF('Tillegg- Inndata GoF'!H38 &gt; 49, _xlfn.XLOOKUP(49, År_etter_ferdigstillelse, karbon_opptak_faktor), _xlfn.XLOOKUP('Tillegg- Inndata GoF'!H38, År_etter_ferdigstillelse, karbon_opptak_faktor))*'Tillegg- Inndata GoF'!G38*'Tillegg- Inndata GoF'!L38*0.5))</f>
        <v>0</v>
      </c>
      <c r="W40" s="333">
        <f>IF('Tillegg- Inndata GoF'!G38=0,0,IF('Tillegg- Inndata GoF'!H38&gt;49,-0.064*'Tillegg- Inndata GoF'!G38*'Tillegg- Inndata GoF'!N38,-0.037*'Tillegg- Inndata GoF'!J38*'Tillegg- Inndata GoF'!N38))</f>
        <v>0</v>
      </c>
      <c r="X40" s="331" cm="1">
        <f t="array" ref="X40">IF(SUM(F40:J40,L40)=0, 0, SUM(F40:J40,L40)*(1+'Tillegg-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Y40" s="330" cm="1">
        <f t="array" ref="Y40">IF(X40=0, 0, SUM(K40,M40)*(1+'Tillegg-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Z40" s="336" cm="1">
        <f t="array" ref="Z40">IF(X40=0, 0, SUM(N40:P40)*(1+'Tillegg-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AA40" s="336" cm="1">
        <f t="array" ref="AA40">IF(X40=0, 0, ('Tillegg- Inndata GoF'!G38+'Tillegg- Inndata GoF'!O38+'Tillegg- Inndata GoF'!S38)*(1+'Tillegg- Inndata GoF'!K38)*Transport_utslipp_til_avfallshånderting_per_kg*IF('Tillegg- Inndata GoF'!H38&gt;50, 0, _xlfn.XLOOKUP('Tillegg- Inndata GoF'!H38, År_etter_ferdigstillelse, IF(VALUE(LEFT('Tillegg- Inndata GoF'!B38, 2))= 49, f_tid_x_f_tek_d_0_037_kumulativ, f_tid_x_f_tek_d_0_01_kumulativ))))</f>
        <v>0</v>
      </c>
      <c r="AB40" s="334" cm="1">
        <f t="array" ref="AB40">IF(X40=0, 0,1.833*'Tillegg- Inndata GoF'!J38*('Tillegg- Inndata GoF'!X38*_xlfn.XLOOKUP(IF('Tillegg- Inndata GoF'!I38&lt;2,'Tillegg- Inndata GoF'!H38,'Tillegg- Inndata GoF'!H38*2), År_etter_ferdigstillelse, Faktorer!$Z$7:$Z$58))*('Tillegg- Inndata GoF'!L38*0.5+'Tillegg- Inndata GoF'!M38*0.8)*_xlfn.XLOOKUP(IF('Tillegg- Inndata GoF'!I38&lt;2,'Tillegg- Inndata GoF'!H38,'Tillegg- Inndata GoF'!H38*2), År_etter_ferdigstillelse,  IF(LEFT('Tillegg- Inndata GoF'!B38, 2)= 49, f_tid_x_f_tek_d_0_037, f_tid_x_f_tek_d_0_01)))</f>
        <v>0</v>
      </c>
      <c r="AC40" s="335">
        <f>IF(('Tillegg- Inndata GoF'!G38) = 0, 0,(('Tillegg- Inndata GoF'!G38)*((AG40+AI40)*Transport_utslipp_til_avfallshånderting_per_kg)+('Tillegg- Inndata GoF'!Z38*'ZERO-B Beregning'!D140)*IF('ZERO-B Beregning'!F141=0,'ZERO-B Beregning'!D141,'ZERO-B Beregning'!F141))*_xlfn.XLOOKUP(51, År_etter_ferdigstillelse, f_tid_x_f_tek_d_0_01))</f>
        <v>0</v>
      </c>
      <c r="AD40" s="337">
        <f>IF(('Tillegg- Inndata GoF'!G38) = 0, 0,1.833*('Tillegg- Inndata GoF'!G38*('Tillegg- Inndata GoF'!L38*0.5+'Tillegg- Inndata GoF'!M38*0.8)*AG40*_xlfn.XLOOKUP(51, År_etter_ferdigstillelse,  f_tid_x_f_tek_d_0_01)))</f>
        <v>0</v>
      </c>
      <c r="AE40" s="333" cm="1">
        <f t="array" ref="AE40">IF(('Tillegg- Inndata GoF'!G38) = 0, 0,-0.8*('Tillegg- Inndata GoF'!G38)*AH40*('Tillegg- Inndata GoF'!E38/'Tillegg- Inndata GoF'!G38)*_xlfn.XLOOKUP(51, År_etter_ferdigstillelse,  IF(LEFT('Tillegg- Inndata GoF'!B38, 2)= 49, f_tid_x_f_tek_d_0_037, f_tid_x_f_tek_d_0_01)))</f>
        <v>0</v>
      </c>
      <c r="AF40" s="338" cm="1">
        <f t="array" ref="AF40">IF(('Tillegg- Inndata GoF'!G38) = 0, 0,-0.1*('Tillegg- Inndata GoF'!G38)*AI40*('Tillegg- Inndata GoF'!E38/'Tillegg- Inndata GoF'!G38)*_xlfn.XLOOKUP(51, År_etter_ferdigstillelse,  IF(LEFT('Tillegg- Inndata GoF'!B38, 2)= 49, f_tid_x_f_tek_d_0_037, f_tid_x_f_tek_d_0_01)))</f>
        <v>0</v>
      </c>
      <c r="AG40" s="572">
        <f>IF(('Tillegg- Inndata GoF'!G38) = 0, 0,'Tillegg- Inndata GoF'!X38*Faktorer!$Z$58)</f>
        <v>0</v>
      </c>
      <c r="AH40" s="573">
        <f>IF(('Tillegg- Inndata GoF'!G38) = 0, 0,'Tillegg- Inndata GoF'!Z38+('Tillegg- Inndata GoF'!X38+'Tillegg- Inndata GoF'!Y38)*(1-Faktorer!$Z$58)*0.5)</f>
        <v>0</v>
      </c>
      <c r="AI40" s="574">
        <f>IF(('Tillegg- Inndata GoF'!G38) = 0, 0,'Tillegg- Inndata GoF'!AA38+('Tillegg- Inndata GoF'!X38+'Tillegg- Inndata GoF'!Y38)*(1-Faktorer!$Z$58)*0.5)</f>
        <v>0</v>
      </c>
      <c r="AK40" s="90">
        <f t="shared" si="1"/>
        <v>0</v>
      </c>
      <c r="AL40" s="91">
        <f>'Tillegg- Res. detaljert GoF'!N40</f>
        <v>0</v>
      </c>
      <c r="AM40" s="91" t="str">
        <f>IF(F40=0,"",('Tillegg- Inndata GoF'!E40+'Tillegg- Inndata GoF'!F40)*ROUNDDOWN('Tillegg- Inndata GoF'!I40,0)*(1+'Tillegg- Inndata GoF'!K40))</f>
        <v/>
      </c>
    </row>
    <row r="41" spans="2:39">
      <c r="B41" s="327">
        <f>'Tillegg- Inndata GoF'!B39</f>
        <v>0</v>
      </c>
      <c r="C41" s="328">
        <f>'Tillegg- Inndata GoF'!C39</f>
        <v>0</v>
      </c>
      <c r="D41" s="329">
        <f>'Tillegg- Inndata GoF'!D39</f>
        <v>0</v>
      </c>
      <c r="E41" s="661" cm="1">
        <f t="array" ref="E41">SUM(IFERROR(F41:AF41,0))</f>
        <v>0</v>
      </c>
      <c r="F41" s="330">
        <f>'Tillegg- Inndata GoF'!E39</f>
        <v>0</v>
      </c>
      <c r="G41" s="330">
        <f>IF('Tillegg- Inndata GoF'!AB39="Ja", -0.8*'Tillegg- Res. detaljert GoF'!$F41, 0)</f>
        <v>0</v>
      </c>
      <c r="H41" s="330">
        <f>IF('Tillegg- Inndata GoF'!AC39="Ja", -0.4*'Tillegg- Res. detaljert GoF'!$F41, 0)</f>
        <v>0</v>
      </c>
      <c r="I41" s="330">
        <f>IF('Tillegg- Inndata GoF'!AD39="Ja", -1*'Tillegg- Res. detaljert GoF'!$F41, 0)</f>
        <v>0</v>
      </c>
      <c r="J41" s="330">
        <f>'Tillegg- Inndata GoF'!O39*'Tillegg- Inndata GoF'!P39</f>
        <v>0</v>
      </c>
      <c r="K41" s="330">
        <f>MAX(-0.75*(SUM('Tillegg- Res. detaljert GoF'!F41:J41)),-'Tillegg- Inndata GoF'!O39*'Tillegg- Inndata GoF'!Q39)</f>
        <v>0</v>
      </c>
      <c r="L41" s="330">
        <f>'Tillegg- Inndata GoF'!S39*'Tillegg- Inndata GoF'!T39</f>
        <v>0</v>
      </c>
      <c r="M41" s="330">
        <f>MAX(-0.75*(SUM('Tillegg- Res. detaljert GoF'!F41:I41,L41)),-'Tillegg- Inndata GoF'!S39*'Tillegg- Inndata GoF'!U39)</f>
        <v>0</v>
      </c>
      <c r="N41" s="331">
        <f>'Tillegg- Inndata GoF'!F39</f>
        <v>0</v>
      </c>
      <c r="O41" s="330">
        <f>'Tillegg- Inndata GoF'!O39*'Tillegg- Inndata GoF'!R39</f>
        <v>0</v>
      </c>
      <c r="P41" s="332">
        <f>'Tillegg- Inndata GoF'!S39*'Tillegg- Inndata GoF'!V39</f>
        <v>0</v>
      </c>
      <c r="Q41" s="333">
        <f>SUM(F41:J41,L41)*'Tillegg- Inndata GoF'!K39</f>
        <v>0</v>
      </c>
      <c r="R41" s="333">
        <f>(K41+M41)*'Tillegg- Inndata GoF'!K39</f>
        <v>0</v>
      </c>
      <c r="S41" s="333">
        <f>SUM(N41:P41)*'Tillegg- Inndata GoF'!K39</f>
        <v>0</v>
      </c>
      <c r="T41" s="334">
        <f>('Tillegg- Inndata GoF'!G39+'Tillegg- Inndata GoF'!O39+'Tillegg- Inndata GoF'!S39)*'Tillegg- Inndata GoF'!K39*Transport_utslipp_til_avfallshånderting_per_kg</f>
        <v>0</v>
      </c>
      <c r="U41" s="330">
        <f>IF('Tillegg- Inndata GoF'!E39 = 0, 0, 1.833*'Tillegg- Inndata GoF'!X39*'Tillegg- Inndata GoF'!K39*('Tillegg- Inndata GoF'!G39*('Tillegg- Inndata GoF'!L39*0.5+'Tillegg- Inndata GoF'!M39*0.8) + (12/44)*('Tillegg- Inndata GoF'!O39*'Tillegg- Inndata GoF'!Q39+'Tillegg- Inndata GoF'!S39*'Tillegg- Inndata GoF'!U39)))</f>
        <v>0</v>
      </c>
      <c r="V41" s="335">
        <f>IF('Tillegg- Inndata GoF'!G39 = 0, 0,  MAX(-SUM(F41:J41,L41)*'Tillegg- Inndata GoF'!L39, -0.114*IF('Tillegg- Inndata GoF'!H39 &gt; 49, _xlfn.XLOOKUP(49, År_etter_ferdigstillelse, karbon_opptak_faktor), _xlfn.XLOOKUP('Tillegg- Inndata GoF'!H39, År_etter_ferdigstillelse, karbon_opptak_faktor))*'Tillegg- Inndata GoF'!G39*'Tillegg- Inndata GoF'!L39*0.5))</f>
        <v>0</v>
      </c>
      <c r="W41" s="333">
        <f>IF('Tillegg- Inndata GoF'!G39=0,0,IF('Tillegg- Inndata GoF'!H39&gt;49,-0.064*'Tillegg- Inndata GoF'!G39*'Tillegg- Inndata GoF'!N39,-0.037*'Tillegg- Inndata GoF'!J39*'Tillegg- Inndata GoF'!N39))</f>
        <v>0</v>
      </c>
      <c r="X41" s="331" cm="1">
        <f t="array" ref="X41">IF(SUM(F41:J41,L41)=0, 0, SUM(F41:J41,L41)*(1+'Tillegg-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Y41" s="330" cm="1">
        <f t="array" ref="Y41">IF(X41=0, 0, SUM(K41,M41)*(1+'Tillegg-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Z41" s="336" cm="1">
        <f t="array" ref="Z41">IF(X41=0, 0, SUM(N41:P41)*(1+'Tillegg-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AA41" s="336" cm="1">
        <f t="array" ref="AA41">IF(X41=0, 0, ('Tillegg- Inndata GoF'!G39+'Tillegg- Inndata GoF'!O39+'Tillegg- Inndata GoF'!S39)*(1+'Tillegg- Inndata GoF'!K39)*Transport_utslipp_til_avfallshånderting_per_kg*IF('Tillegg- Inndata GoF'!H39&gt;50, 0, _xlfn.XLOOKUP('Tillegg- Inndata GoF'!H39, År_etter_ferdigstillelse, IF(VALUE(LEFT('Tillegg- Inndata GoF'!B39, 2))= 49, f_tid_x_f_tek_d_0_037_kumulativ, f_tid_x_f_tek_d_0_01_kumulativ))))</f>
        <v>0</v>
      </c>
      <c r="AB41" s="334" cm="1">
        <f t="array" ref="AB41">IF(X41=0, 0,1.833*'Tillegg- Inndata GoF'!J39*('Tillegg- Inndata GoF'!X39*_xlfn.XLOOKUP(IF('Tillegg- Inndata GoF'!I39&lt;2,'Tillegg- Inndata GoF'!H39,'Tillegg- Inndata GoF'!H39*2), År_etter_ferdigstillelse, Faktorer!$Z$7:$Z$58))*('Tillegg- Inndata GoF'!L39*0.5+'Tillegg- Inndata GoF'!M39*0.8)*_xlfn.XLOOKUP(IF('Tillegg- Inndata GoF'!I39&lt;2,'Tillegg- Inndata GoF'!H39,'Tillegg- Inndata GoF'!H39*2), År_etter_ferdigstillelse,  IF(LEFT('Tillegg- Inndata GoF'!B39, 2)= 49, f_tid_x_f_tek_d_0_037, f_tid_x_f_tek_d_0_01)))</f>
        <v>0</v>
      </c>
      <c r="AC41" s="335">
        <f>IF(('Tillegg- Inndata GoF'!G39) = 0, 0,(('Tillegg- Inndata GoF'!G39)*((AG41+AI41)*Transport_utslipp_til_avfallshånderting_per_kg)+('Tillegg- Inndata GoF'!Z39*'ZERO-B Beregning'!D141)*IF('ZERO-B Beregning'!F142=0,'ZERO-B Beregning'!D142,'ZERO-B Beregning'!F142))*_xlfn.XLOOKUP(51, År_etter_ferdigstillelse, f_tid_x_f_tek_d_0_01))</f>
        <v>0</v>
      </c>
      <c r="AD41" s="337">
        <f>IF(('Tillegg- Inndata GoF'!G39) = 0, 0,1.833*('Tillegg- Inndata GoF'!G39*('Tillegg- Inndata GoF'!L39*0.5+'Tillegg- Inndata GoF'!M39*0.8)*AG41*_xlfn.XLOOKUP(51, År_etter_ferdigstillelse,  f_tid_x_f_tek_d_0_01)))</f>
        <v>0</v>
      </c>
      <c r="AE41" s="333" cm="1">
        <f t="array" ref="AE41">IF(('Tillegg- Inndata GoF'!G39) = 0, 0,-0.8*('Tillegg- Inndata GoF'!G39)*AH41*('Tillegg- Inndata GoF'!E39/'Tillegg- Inndata GoF'!G39)*_xlfn.XLOOKUP(51, År_etter_ferdigstillelse,  IF(LEFT('Tillegg- Inndata GoF'!B39, 2)= 49, f_tid_x_f_tek_d_0_037, f_tid_x_f_tek_d_0_01)))</f>
        <v>0</v>
      </c>
      <c r="AF41" s="338" cm="1">
        <f t="array" ref="AF41">IF(('Tillegg- Inndata GoF'!G39) = 0, 0,-0.1*('Tillegg- Inndata GoF'!G39)*AI41*('Tillegg- Inndata GoF'!E39/'Tillegg- Inndata GoF'!G39)*_xlfn.XLOOKUP(51, År_etter_ferdigstillelse,  IF(LEFT('Tillegg- Inndata GoF'!B39, 2)= 49, f_tid_x_f_tek_d_0_037, f_tid_x_f_tek_d_0_01)))</f>
        <v>0</v>
      </c>
      <c r="AG41" s="572">
        <f>IF(('Tillegg- Inndata GoF'!G39) = 0, 0,'Tillegg- Inndata GoF'!X39*Faktorer!$Z$58)</f>
        <v>0</v>
      </c>
      <c r="AH41" s="573">
        <f>IF(('Tillegg- Inndata GoF'!G39) = 0, 0,'Tillegg- Inndata GoF'!Z39+('Tillegg- Inndata GoF'!X39+'Tillegg- Inndata GoF'!Y39)*(1-Faktorer!$Z$58)*0.5)</f>
        <v>0</v>
      </c>
      <c r="AI41" s="574">
        <f>IF(('Tillegg- Inndata GoF'!G39) = 0, 0,'Tillegg- Inndata GoF'!AA39+('Tillegg- Inndata GoF'!X39+'Tillegg- Inndata GoF'!Y39)*(1-Faktorer!$Z$58)*0.5)</f>
        <v>0</v>
      </c>
      <c r="AK41" s="90">
        <f t="shared" si="1"/>
        <v>0</v>
      </c>
      <c r="AL41" s="91">
        <f>'Tillegg- Res. detaljert GoF'!N41</f>
        <v>0</v>
      </c>
      <c r="AM41" s="91" t="str">
        <f>IF(F41=0,"",('Tillegg- Inndata GoF'!E41+'Tillegg- Inndata GoF'!F41)*ROUNDDOWN('Tillegg- Inndata GoF'!I41,0)*(1+'Tillegg- Inndata GoF'!K41))</f>
        <v/>
      </c>
    </row>
    <row r="42" spans="2:39">
      <c r="B42" s="327">
        <f>'Tillegg- Inndata GoF'!B40</f>
        <v>0</v>
      </c>
      <c r="C42" s="328">
        <f>'Tillegg- Inndata GoF'!C40</f>
        <v>0</v>
      </c>
      <c r="D42" s="329">
        <f>'Tillegg- Inndata GoF'!D40</f>
        <v>0</v>
      </c>
      <c r="E42" s="661" cm="1">
        <f t="array" ref="E42">SUM(IFERROR(F42:AF42,0))</f>
        <v>0</v>
      </c>
      <c r="F42" s="330">
        <f>'Tillegg- Inndata GoF'!E40</f>
        <v>0</v>
      </c>
      <c r="G42" s="330">
        <f>IF('Tillegg- Inndata GoF'!AB40="Ja", -0.8*'Tillegg- Res. detaljert GoF'!$F42, 0)</f>
        <v>0</v>
      </c>
      <c r="H42" s="330">
        <f>IF('Tillegg- Inndata GoF'!AC40="Ja", -0.4*'Tillegg- Res. detaljert GoF'!$F42, 0)</f>
        <v>0</v>
      </c>
      <c r="I42" s="330">
        <f>IF('Tillegg- Inndata GoF'!AD40="Ja", -1*'Tillegg- Res. detaljert GoF'!$F42, 0)</f>
        <v>0</v>
      </c>
      <c r="J42" s="330">
        <f>'Tillegg- Inndata GoF'!O40*'Tillegg- Inndata GoF'!P40</f>
        <v>0</v>
      </c>
      <c r="K42" s="330">
        <f>MAX(-0.75*(SUM('Tillegg- Res. detaljert GoF'!F42:J42)),-'Tillegg- Inndata GoF'!O40*'Tillegg- Inndata GoF'!Q40)</f>
        <v>0</v>
      </c>
      <c r="L42" s="330">
        <f>'Tillegg- Inndata GoF'!S40*'Tillegg- Inndata GoF'!T40</f>
        <v>0</v>
      </c>
      <c r="M42" s="330">
        <f>MAX(-0.75*(SUM('Tillegg- Res. detaljert GoF'!F42:I42,L42)),-'Tillegg- Inndata GoF'!S40*'Tillegg- Inndata GoF'!U40)</f>
        <v>0</v>
      </c>
      <c r="N42" s="331">
        <f>'Tillegg- Inndata GoF'!F40</f>
        <v>0</v>
      </c>
      <c r="O42" s="330">
        <f>'Tillegg- Inndata GoF'!O40*'Tillegg- Inndata GoF'!R40</f>
        <v>0</v>
      </c>
      <c r="P42" s="332">
        <f>'Tillegg- Inndata GoF'!S40*'Tillegg- Inndata GoF'!V40</f>
        <v>0</v>
      </c>
      <c r="Q42" s="333">
        <f>SUM(F42:J42,L42)*'Tillegg- Inndata GoF'!K40</f>
        <v>0</v>
      </c>
      <c r="R42" s="333">
        <f>(K42+M42)*'Tillegg- Inndata GoF'!K40</f>
        <v>0</v>
      </c>
      <c r="S42" s="333">
        <f>SUM(N42:P42)*'Tillegg- Inndata GoF'!K40</f>
        <v>0</v>
      </c>
      <c r="T42" s="334">
        <f>('Tillegg- Inndata GoF'!G40+'Tillegg- Inndata GoF'!O40+'Tillegg- Inndata GoF'!S40)*'Tillegg- Inndata GoF'!K40*Transport_utslipp_til_avfallshånderting_per_kg</f>
        <v>0</v>
      </c>
      <c r="U42" s="330">
        <f>IF('Tillegg- Inndata GoF'!E40 = 0, 0, 1.833*'Tillegg- Inndata GoF'!X40*'Tillegg- Inndata GoF'!K40*('Tillegg- Inndata GoF'!G40*('Tillegg- Inndata GoF'!L40*0.5+'Tillegg- Inndata GoF'!M40*0.8) + (12/44)*('Tillegg- Inndata GoF'!O40*'Tillegg- Inndata GoF'!Q40+'Tillegg- Inndata GoF'!S40*'Tillegg- Inndata GoF'!U40)))</f>
        <v>0</v>
      </c>
      <c r="V42" s="335">
        <f>IF('Tillegg- Inndata GoF'!G40 = 0, 0,  MAX(-SUM(F42:J42,L42)*'Tillegg- Inndata GoF'!L40, -0.114*IF('Tillegg- Inndata GoF'!H40 &gt; 49, _xlfn.XLOOKUP(49, År_etter_ferdigstillelse, karbon_opptak_faktor), _xlfn.XLOOKUP('Tillegg- Inndata GoF'!H40, År_etter_ferdigstillelse, karbon_opptak_faktor))*'Tillegg- Inndata GoF'!G40*'Tillegg- Inndata GoF'!L40*0.5))</f>
        <v>0</v>
      </c>
      <c r="W42" s="333">
        <f>IF('Tillegg- Inndata GoF'!G40=0,0,IF('Tillegg- Inndata GoF'!H40&gt;49,-0.064*'Tillegg- Inndata GoF'!G40*'Tillegg- Inndata GoF'!N40,-0.037*'Tillegg- Inndata GoF'!J40*'Tillegg- Inndata GoF'!N40))</f>
        <v>0</v>
      </c>
      <c r="X42" s="331" cm="1">
        <f t="array" ref="X42">IF(SUM(F42:J42,L42)=0, 0, SUM(F42:J42,L42)*(1+'Tillegg-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Y42" s="330" cm="1">
        <f t="array" ref="Y42">IF(X42=0, 0, SUM(K42,M42)*(1+'Tillegg-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Z42" s="336" cm="1">
        <f t="array" ref="Z42">IF(X42=0, 0, SUM(N42:P42)*(1+'Tillegg-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AA42" s="336" cm="1">
        <f t="array" ref="AA42">IF(X42=0, 0, ('Tillegg- Inndata GoF'!G40+'Tillegg- Inndata GoF'!O40+'Tillegg- Inndata GoF'!S40)*(1+'Tillegg- Inndata GoF'!K40)*Transport_utslipp_til_avfallshånderting_per_kg*IF('Tillegg- Inndata GoF'!H40&gt;50, 0, _xlfn.XLOOKUP('Tillegg- Inndata GoF'!H40, År_etter_ferdigstillelse, IF(VALUE(LEFT('Tillegg- Inndata GoF'!B40, 2))= 49, f_tid_x_f_tek_d_0_037_kumulativ, f_tid_x_f_tek_d_0_01_kumulativ))))</f>
        <v>0</v>
      </c>
      <c r="AB42" s="334" cm="1">
        <f t="array" ref="AB42">IF(X42=0, 0,1.833*'Tillegg- Inndata GoF'!J40*('Tillegg- Inndata GoF'!X40*_xlfn.XLOOKUP(IF('Tillegg- Inndata GoF'!I40&lt;2,'Tillegg- Inndata GoF'!H40,'Tillegg- Inndata GoF'!H40*2), År_etter_ferdigstillelse, Faktorer!$Z$7:$Z$58))*('Tillegg- Inndata GoF'!L40*0.5+'Tillegg- Inndata GoF'!M40*0.8)*_xlfn.XLOOKUP(IF('Tillegg- Inndata GoF'!I40&lt;2,'Tillegg- Inndata GoF'!H40,'Tillegg- Inndata GoF'!H40*2), År_etter_ferdigstillelse,  IF(LEFT('Tillegg- Inndata GoF'!B40, 2)= 49, f_tid_x_f_tek_d_0_037, f_tid_x_f_tek_d_0_01)))</f>
        <v>0</v>
      </c>
      <c r="AC42" s="335">
        <f>IF(('Tillegg- Inndata GoF'!G40) = 0, 0,(('Tillegg- Inndata GoF'!G40)*((AG42+AI42)*Transport_utslipp_til_avfallshånderting_per_kg)+('Tillegg- Inndata GoF'!Z40*'ZERO-B Beregning'!D142)*IF('ZERO-B Beregning'!F143=0,'ZERO-B Beregning'!D143,'ZERO-B Beregning'!F143))*_xlfn.XLOOKUP(51, År_etter_ferdigstillelse, f_tid_x_f_tek_d_0_01))</f>
        <v>0</v>
      </c>
      <c r="AD42" s="337">
        <f>IF(('Tillegg- Inndata GoF'!G40) = 0, 0,1.833*('Tillegg- Inndata GoF'!G40*('Tillegg- Inndata GoF'!L40*0.5+'Tillegg- Inndata GoF'!M40*0.8)*AG42*_xlfn.XLOOKUP(51, År_etter_ferdigstillelse,  f_tid_x_f_tek_d_0_01)))</f>
        <v>0</v>
      </c>
      <c r="AE42" s="333" cm="1">
        <f t="array" ref="AE42">IF(('Tillegg- Inndata GoF'!G40) = 0, 0,-0.8*('Tillegg- Inndata GoF'!G40)*AH42*('Tillegg- Inndata GoF'!E40/'Tillegg- Inndata GoF'!G40)*_xlfn.XLOOKUP(51, År_etter_ferdigstillelse,  IF(LEFT('Tillegg- Inndata GoF'!B40, 2)= 49, f_tid_x_f_tek_d_0_037, f_tid_x_f_tek_d_0_01)))</f>
        <v>0</v>
      </c>
      <c r="AF42" s="338" cm="1">
        <f t="array" ref="AF42">IF(('Tillegg- Inndata GoF'!G40) = 0, 0,-0.1*('Tillegg- Inndata GoF'!G40)*AI42*('Tillegg- Inndata GoF'!E40/'Tillegg- Inndata GoF'!G40)*_xlfn.XLOOKUP(51, År_etter_ferdigstillelse,  IF(LEFT('Tillegg- Inndata GoF'!B40, 2)= 49, f_tid_x_f_tek_d_0_037, f_tid_x_f_tek_d_0_01)))</f>
        <v>0</v>
      </c>
      <c r="AG42" s="572">
        <f>IF(('Tillegg- Inndata GoF'!G40) = 0, 0,'Tillegg- Inndata GoF'!X40*Faktorer!$Z$58)</f>
        <v>0</v>
      </c>
      <c r="AH42" s="573">
        <f>IF(('Tillegg- Inndata GoF'!G40) = 0, 0,'Tillegg- Inndata GoF'!Z40+('Tillegg- Inndata GoF'!X40+'Tillegg- Inndata GoF'!Y40)*(1-Faktorer!$Z$58)*0.5)</f>
        <v>0</v>
      </c>
      <c r="AI42" s="574">
        <f>IF(('Tillegg- Inndata GoF'!G40) = 0, 0,'Tillegg- Inndata GoF'!AA40+('Tillegg- Inndata GoF'!X40+'Tillegg- Inndata GoF'!Y40)*(1-Faktorer!$Z$58)*0.5)</f>
        <v>0</v>
      </c>
      <c r="AK42" s="90">
        <f t="shared" si="1"/>
        <v>0</v>
      </c>
      <c r="AL42" s="91">
        <f>'Tillegg- Res. detaljert GoF'!N42</f>
        <v>0</v>
      </c>
      <c r="AM42" s="91" t="str">
        <f>IF(F42=0,"",('Tillegg- Inndata GoF'!E42+'Tillegg- Inndata GoF'!F42)*ROUNDDOWN('Tillegg- Inndata GoF'!I42,0)*(1+'Tillegg- Inndata GoF'!K42))</f>
        <v/>
      </c>
    </row>
    <row r="43" spans="2:39">
      <c r="B43" s="327">
        <f>'Tillegg- Inndata GoF'!B41</f>
        <v>0</v>
      </c>
      <c r="C43" s="328">
        <f>'Tillegg- Inndata GoF'!C41</f>
        <v>0</v>
      </c>
      <c r="D43" s="329">
        <f>'Tillegg- Inndata GoF'!D41</f>
        <v>0</v>
      </c>
      <c r="E43" s="661" cm="1">
        <f t="array" ref="E43">SUM(IFERROR(F43:AF43,0))</f>
        <v>0</v>
      </c>
      <c r="F43" s="330">
        <f>'Tillegg- Inndata GoF'!E41</f>
        <v>0</v>
      </c>
      <c r="G43" s="330">
        <f>IF('Tillegg- Inndata GoF'!AB41="Ja", -0.8*'Tillegg- Res. detaljert GoF'!$F43, 0)</f>
        <v>0</v>
      </c>
      <c r="H43" s="330">
        <f>IF('Tillegg- Inndata GoF'!AC41="Ja", -0.4*'Tillegg- Res. detaljert GoF'!$F43, 0)</f>
        <v>0</v>
      </c>
      <c r="I43" s="330">
        <f>IF('Tillegg- Inndata GoF'!AD41="Ja", -1*'Tillegg- Res. detaljert GoF'!$F43, 0)</f>
        <v>0</v>
      </c>
      <c r="J43" s="330">
        <f>'Tillegg- Inndata GoF'!O41*'Tillegg- Inndata GoF'!P41</f>
        <v>0</v>
      </c>
      <c r="K43" s="330">
        <f>MAX(-0.75*(SUM('Tillegg- Res. detaljert GoF'!F43:J43)),-'Tillegg- Inndata GoF'!O41*'Tillegg- Inndata GoF'!Q41)</f>
        <v>0</v>
      </c>
      <c r="L43" s="330">
        <f>'Tillegg- Inndata GoF'!S41*'Tillegg- Inndata GoF'!T41</f>
        <v>0</v>
      </c>
      <c r="M43" s="330">
        <f>MAX(-0.75*(SUM('Tillegg- Res. detaljert GoF'!F43:I43,L43)),-'Tillegg- Inndata GoF'!S41*'Tillegg- Inndata GoF'!U41)</f>
        <v>0</v>
      </c>
      <c r="N43" s="331">
        <f>'Tillegg- Inndata GoF'!F41</f>
        <v>0</v>
      </c>
      <c r="O43" s="330">
        <f>'Tillegg- Inndata GoF'!O41*'Tillegg- Inndata GoF'!R41</f>
        <v>0</v>
      </c>
      <c r="P43" s="332">
        <f>'Tillegg- Inndata GoF'!S41*'Tillegg- Inndata GoF'!V41</f>
        <v>0</v>
      </c>
      <c r="Q43" s="333">
        <f>SUM(F43:J43,L43)*'Tillegg- Inndata GoF'!K41</f>
        <v>0</v>
      </c>
      <c r="R43" s="333">
        <f>(K43+M43)*'Tillegg- Inndata GoF'!K41</f>
        <v>0</v>
      </c>
      <c r="S43" s="333">
        <f>SUM(N43:P43)*'Tillegg- Inndata GoF'!K41</f>
        <v>0</v>
      </c>
      <c r="T43" s="334">
        <f>('Tillegg- Inndata GoF'!G41+'Tillegg- Inndata GoF'!O41+'Tillegg- Inndata GoF'!S41)*'Tillegg- Inndata GoF'!K41*Transport_utslipp_til_avfallshånderting_per_kg</f>
        <v>0</v>
      </c>
      <c r="U43" s="330">
        <f>IF('Tillegg- Inndata GoF'!E41 = 0, 0, 1.833*'Tillegg- Inndata GoF'!X41*'Tillegg- Inndata GoF'!K41*('Tillegg- Inndata GoF'!G41*('Tillegg- Inndata GoF'!L41*0.5+'Tillegg- Inndata GoF'!M41*0.8) + (12/44)*('Tillegg- Inndata GoF'!O41*'Tillegg- Inndata GoF'!Q41+'Tillegg- Inndata GoF'!S41*'Tillegg- Inndata GoF'!U41)))</f>
        <v>0</v>
      </c>
      <c r="V43" s="335">
        <f>IF('Tillegg- Inndata GoF'!G41 = 0, 0,  MAX(-SUM(F43:J43,L43)*'Tillegg- Inndata GoF'!L41, -0.114*IF('Tillegg- Inndata GoF'!H41 &gt; 49, _xlfn.XLOOKUP(49, År_etter_ferdigstillelse, karbon_opptak_faktor), _xlfn.XLOOKUP('Tillegg- Inndata GoF'!H41, År_etter_ferdigstillelse, karbon_opptak_faktor))*'Tillegg- Inndata GoF'!G41*'Tillegg- Inndata GoF'!L41*0.5))</f>
        <v>0</v>
      </c>
      <c r="W43" s="333">
        <f>IF('Tillegg- Inndata GoF'!G41=0,0,IF('Tillegg- Inndata GoF'!H41&gt;49,-0.064*'Tillegg- Inndata GoF'!G41*'Tillegg- Inndata GoF'!N41,-0.037*'Tillegg- Inndata GoF'!J41*'Tillegg- Inndata GoF'!N41))</f>
        <v>0</v>
      </c>
      <c r="X43" s="331" cm="1">
        <f t="array" ref="X43">IF(SUM(F43:J43,L43)=0, 0, SUM(F43:J43,L43)*(1+'Tillegg-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Y43" s="330" cm="1">
        <f t="array" ref="Y43">IF(X43=0, 0, SUM(K43,M43)*(1+'Tillegg-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Z43" s="336" cm="1">
        <f t="array" ref="Z43">IF(X43=0, 0, SUM(N43:P43)*(1+'Tillegg-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AA43" s="336" cm="1">
        <f t="array" ref="AA43">IF(X43=0, 0, ('Tillegg- Inndata GoF'!G41+'Tillegg- Inndata GoF'!O41+'Tillegg- Inndata GoF'!S41)*(1+'Tillegg- Inndata GoF'!K41)*Transport_utslipp_til_avfallshånderting_per_kg*IF('Tillegg- Inndata GoF'!H41&gt;50, 0, _xlfn.XLOOKUP('Tillegg- Inndata GoF'!H41, År_etter_ferdigstillelse, IF(VALUE(LEFT('Tillegg- Inndata GoF'!B41, 2))= 49, f_tid_x_f_tek_d_0_037_kumulativ, f_tid_x_f_tek_d_0_01_kumulativ))))</f>
        <v>0</v>
      </c>
      <c r="AB43" s="334" cm="1">
        <f t="array" ref="AB43">IF(X43=0, 0,1.833*'Tillegg- Inndata GoF'!J41*('Tillegg- Inndata GoF'!X41*_xlfn.XLOOKUP(IF('Tillegg- Inndata GoF'!I41&lt;2,'Tillegg- Inndata GoF'!H41,'Tillegg- Inndata GoF'!H41*2), År_etter_ferdigstillelse, Faktorer!$Z$7:$Z$58))*('Tillegg- Inndata GoF'!L41*0.5+'Tillegg- Inndata GoF'!M41*0.8)*_xlfn.XLOOKUP(IF('Tillegg- Inndata GoF'!I41&lt;2,'Tillegg- Inndata GoF'!H41,'Tillegg- Inndata GoF'!H41*2), År_etter_ferdigstillelse,  IF(LEFT('Tillegg- Inndata GoF'!B41, 2)= 49, f_tid_x_f_tek_d_0_037, f_tid_x_f_tek_d_0_01)))</f>
        <v>0</v>
      </c>
      <c r="AC43" s="335">
        <f>IF(('Tillegg- Inndata GoF'!G41) = 0, 0,(('Tillegg- Inndata GoF'!G41)*((AG43+AI43)*Transport_utslipp_til_avfallshånderting_per_kg)+('Tillegg- Inndata GoF'!Z41*'ZERO-B Beregning'!D143)*IF('ZERO-B Beregning'!F144=0,'ZERO-B Beregning'!D144,'ZERO-B Beregning'!F144))*_xlfn.XLOOKUP(51, År_etter_ferdigstillelse, f_tid_x_f_tek_d_0_01))</f>
        <v>0</v>
      </c>
      <c r="AD43" s="337">
        <f>IF(('Tillegg- Inndata GoF'!G41) = 0, 0,1.833*('Tillegg- Inndata GoF'!G41*('Tillegg- Inndata GoF'!L41*0.5+'Tillegg- Inndata GoF'!M41*0.8)*AG43*_xlfn.XLOOKUP(51, År_etter_ferdigstillelse,  f_tid_x_f_tek_d_0_01)))</f>
        <v>0</v>
      </c>
      <c r="AE43" s="333" cm="1">
        <f t="array" ref="AE43">IF(('Tillegg- Inndata GoF'!G41) = 0, 0,-0.8*('Tillegg- Inndata GoF'!G41)*AH43*('Tillegg- Inndata GoF'!E41/'Tillegg- Inndata GoF'!G41)*_xlfn.XLOOKUP(51, År_etter_ferdigstillelse,  IF(LEFT('Tillegg- Inndata GoF'!B41, 2)= 49, f_tid_x_f_tek_d_0_037, f_tid_x_f_tek_d_0_01)))</f>
        <v>0</v>
      </c>
      <c r="AF43" s="338" cm="1">
        <f t="array" ref="AF43">IF(('Tillegg- Inndata GoF'!G41) = 0, 0,-0.1*('Tillegg- Inndata GoF'!G41)*AI43*('Tillegg- Inndata GoF'!E41/'Tillegg- Inndata GoF'!G41)*_xlfn.XLOOKUP(51, År_etter_ferdigstillelse,  IF(LEFT('Tillegg- Inndata GoF'!B41, 2)= 49, f_tid_x_f_tek_d_0_037, f_tid_x_f_tek_d_0_01)))</f>
        <v>0</v>
      </c>
      <c r="AG43" s="572">
        <f>IF(('Tillegg- Inndata GoF'!G41) = 0, 0,'Tillegg- Inndata GoF'!X41*Faktorer!$Z$58)</f>
        <v>0</v>
      </c>
      <c r="AH43" s="573">
        <f>IF(('Tillegg- Inndata GoF'!G41) = 0, 0,'Tillegg- Inndata GoF'!Z41+('Tillegg- Inndata GoF'!X41+'Tillegg- Inndata GoF'!Y41)*(1-Faktorer!$Z$58)*0.5)</f>
        <v>0</v>
      </c>
      <c r="AI43" s="574">
        <f>IF(('Tillegg- Inndata GoF'!G41) = 0, 0,'Tillegg- Inndata GoF'!AA41+('Tillegg- Inndata GoF'!X41+'Tillegg- Inndata GoF'!Y41)*(1-Faktorer!$Z$58)*0.5)</f>
        <v>0</v>
      </c>
      <c r="AK43" s="90">
        <f t="shared" si="1"/>
        <v>0</v>
      </c>
      <c r="AL43" s="91">
        <f>'Tillegg- Res. detaljert GoF'!N43</f>
        <v>0</v>
      </c>
      <c r="AM43" s="91" t="str">
        <f>IF(F43=0,"",('Tillegg- Inndata GoF'!E43+'Tillegg- Inndata GoF'!F43)*ROUNDDOWN('Tillegg- Inndata GoF'!I43,0)*(1+'Tillegg- Inndata GoF'!K43))</f>
        <v/>
      </c>
    </row>
    <row r="44" spans="2:39">
      <c r="B44" s="327">
        <f>'Tillegg- Inndata GoF'!B42</f>
        <v>0</v>
      </c>
      <c r="C44" s="328">
        <f>'Tillegg- Inndata GoF'!C42</f>
        <v>0</v>
      </c>
      <c r="D44" s="329">
        <f>'Tillegg- Inndata GoF'!D42</f>
        <v>0</v>
      </c>
      <c r="E44" s="661" cm="1">
        <f t="array" ref="E44">SUM(IFERROR(F44:AF44,0))</f>
        <v>0</v>
      </c>
      <c r="F44" s="330">
        <f>'Tillegg- Inndata GoF'!E42</f>
        <v>0</v>
      </c>
      <c r="G44" s="330">
        <f>IF('Tillegg- Inndata GoF'!AB42="Ja", -0.8*'Tillegg- Res. detaljert GoF'!$F44, 0)</f>
        <v>0</v>
      </c>
      <c r="H44" s="330">
        <f>IF('Tillegg- Inndata GoF'!AC42="Ja", -0.4*'Tillegg- Res. detaljert GoF'!$F44, 0)</f>
        <v>0</v>
      </c>
      <c r="I44" s="330">
        <f>IF('Tillegg- Inndata GoF'!AD42="Ja", -1*'Tillegg- Res. detaljert GoF'!$F44, 0)</f>
        <v>0</v>
      </c>
      <c r="J44" s="330">
        <f>'Tillegg- Inndata GoF'!O42*'Tillegg- Inndata GoF'!P42</f>
        <v>0</v>
      </c>
      <c r="K44" s="330">
        <f>MAX(-0.75*(SUM('Tillegg- Res. detaljert GoF'!F44:J44)),-'Tillegg- Inndata GoF'!O42*'Tillegg- Inndata GoF'!Q42)</f>
        <v>0</v>
      </c>
      <c r="L44" s="330">
        <f>'Tillegg- Inndata GoF'!S42*'Tillegg- Inndata GoF'!T42</f>
        <v>0</v>
      </c>
      <c r="M44" s="330">
        <f>MAX(-0.75*(SUM('Tillegg- Res. detaljert GoF'!F44:I44,L44)),-'Tillegg- Inndata GoF'!S42*'Tillegg- Inndata GoF'!U42)</f>
        <v>0</v>
      </c>
      <c r="N44" s="331">
        <f>'Tillegg- Inndata GoF'!F42</f>
        <v>0</v>
      </c>
      <c r="O44" s="330">
        <f>'Tillegg- Inndata GoF'!O42*'Tillegg- Inndata GoF'!R42</f>
        <v>0</v>
      </c>
      <c r="P44" s="332">
        <f>'Tillegg- Inndata GoF'!S42*'Tillegg- Inndata GoF'!V42</f>
        <v>0</v>
      </c>
      <c r="Q44" s="333">
        <f>SUM(F44:J44,L44)*'Tillegg- Inndata GoF'!K42</f>
        <v>0</v>
      </c>
      <c r="R44" s="333">
        <f>(K44+M44)*'Tillegg- Inndata GoF'!K42</f>
        <v>0</v>
      </c>
      <c r="S44" s="333">
        <f>SUM(N44:P44)*'Tillegg- Inndata GoF'!K42</f>
        <v>0</v>
      </c>
      <c r="T44" s="334">
        <f>('Tillegg- Inndata GoF'!G42+'Tillegg- Inndata GoF'!O42+'Tillegg- Inndata GoF'!S42)*'Tillegg- Inndata GoF'!K42*Transport_utslipp_til_avfallshånderting_per_kg</f>
        <v>0</v>
      </c>
      <c r="U44" s="330">
        <f>IF('Tillegg- Inndata GoF'!E42 = 0, 0, 1.833*'Tillegg- Inndata GoF'!X42*'Tillegg- Inndata GoF'!K42*('Tillegg- Inndata GoF'!G42*('Tillegg- Inndata GoF'!L42*0.5+'Tillegg- Inndata GoF'!M42*0.8) + (12/44)*('Tillegg- Inndata GoF'!O42*'Tillegg- Inndata GoF'!Q42+'Tillegg- Inndata GoF'!S42*'Tillegg- Inndata GoF'!U42)))</f>
        <v>0</v>
      </c>
      <c r="V44" s="335">
        <f>IF('Tillegg- Inndata GoF'!G42 = 0, 0,  MAX(-SUM(F44:J44,L44)*'Tillegg- Inndata GoF'!L42, -0.114*IF('Tillegg- Inndata GoF'!H42 &gt; 49, _xlfn.XLOOKUP(49, År_etter_ferdigstillelse, karbon_opptak_faktor), _xlfn.XLOOKUP('Tillegg- Inndata GoF'!H42, År_etter_ferdigstillelse, karbon_opptak_faktor))*'Tillegg- Inndata GoF'!G42*'Tillegg- Inndata GoF'!L42*0.5))</f>
        <v>0</v>
      </c>
      <c r="W44" s="333">
        <f>IF('Tillegg- Inndata GoF'!G42=0,0,IF('Tillegg- Inndata GoF'!H42&gt;49,-0.064*'Tillegg- Inndata GoF'!G42*'Tillegg- Inndata GoF'!N42,-0.037*'Tillegg- Inndata GoF'!J42*'Tillegg- Inndata GoF'!N42))</f>
        <v>0</v>
      </c>
      <c r="X44" s="331" cm="1">
        <f t="array" ref="X44">IF(SUM(F44:J44,L44)=0, 0, SUM(F44:J44,L44)*(1+'Tillegg-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Y44" s="330" cm="1">
        <f t="array" ref="Y44">IF(X44=0, 0, SUM(K44,M44)*(1+'Tillegg-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Z44" s="336" cm="1">
        <f t="array" ref="Z44">IF(X44=0, 0, SUM(N44:P44)*(1+'Tillegg-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AA44" s="336" cm="1">
        <f t="array" ref="AA44">IF(X44=0, 0, ('Tillegg- Inndata GoF'!G42+'Tillegg- Inndata GoF'!O42+'Tillegg- Inndata GoF'!S42)*(1+'Tillegg- Inndata GoF'!K42)*Transport_utslipp_til_avfallshånderting_per_kg*IF('Tillegg- Inndata GoF'!H42&gt;50, 0, _xlfn.XLOOKUP('Tillegg- Inndata GoF'!H42, År_etter_ferdigstillelse, IF(VALUE(LEFT('Tillegg- Inndata GoF'!B42, 2))= 49, f_tid_x_f_tek_d_0_037_kumulativ, f_tid_x_f_tek_d_0_01_kumulativ))))</f>
        <v>0</v>
      </c>
      <c r="AB44" s="334" cm="1">
        <f t="array" ref="AB44">IF(X44=0, 0,1.833*'Tillegg- Inndata GoF'!J42*('Tillegg- Inndata GoF'!X42*_xlfn.XLOOKUP(IF('Tillegg- Inndata GoF'!I42&lt;2,'Tillegg- Inndata GoF'!H42,'Tillegg- Inndata GoF'!H42*2), År_etter_ferdigstillelse, Faktorer!$Z$7:$Z$58))*('Tillegg- Inndata GoF'!L42*0.5+'Tillegg- Inndata GoF'!M42*0.8)*_xlfn.XLOOKUP(IF('Tillegg- Inndata GoF'!I42&lt;2,'Tillegg- Inndata GoF'!H42,'Tillegg- Inndata GoF'!H42*2), År_etter_ferdigstillelse,  IF(LEFT('Tillegg- Inndata GoF'!B42, 2)= 49, f_tid_x_f_tek_d_0_037, f_tid_x_f_tek_d_0_01)))</f>
        <v>0</v>
      </c>
      <c r="AC44" s="335">
        <f>IF(('Tillegg- Inndata GoF'!G42) = 0, 0,(('Tillegg- Inndata GoF'!G42)*((AG44+AI44)*Transport_utslipp_til_avfallshånderting_per_kg)+('Tillegg- Inndata GoF'!Z42*'ZERO-B Beregning'!D144)*IF('ZERO-B Beregning'!F145=0,'ZERO-B Beregning'!D145,'ZERO-B Beregning'!F145))*_xlfn.XLOOKUP(51, År_etter_ferdigstillelse, f_tid_x_f_tek_d_0_01))</f>
        <v>0</v>
      </c>
      <c r="AD44" s="337">
        <f>IF(('Tillegg- Inndata GoF'!G42) = 0, 0,1.833*('Tillegg- Inndata GoF'!G42*('Tillegg- Inndata GoF'!L42*0.5+'Tillegg- Inndata GoF'!M42*0.8)*AG44*_xlfn.XLOOKUP(51, År_etter_ferdigstillelse,  f_tid_x_f_tek_d_0_01)))</f>
        <v>0</v>
      </c>
      <c r="AE44" s="333" cm="1">
        <f t="array" ref="AE44">IF(('Tillegg- Inndata GoF'!G42) = 0, 0,-0.8*('Tillegg- Inndata GoF'!G42)*AH44*('Tillegg- Inndata GoF'!E42/'Tillegg- Inndata GoF'!G42)*_xlfn.XLOOKUP(51, År_etter_ferdigstillelse,  IF(LEFT('Tillegg- Inndata GoF'!B42, 2)= 49, f_tid_x_f_tek_d_0_037, f_tid_x_f_tek_d_0_01)))</f>
        <v>0</v>
      </c>
      <c r="AF44" s="338" cm="1">
        <f t="array" ref="AF44">IF(('Tillegg- Inndata GoF'!G42) = 0, 0,-0.1*('Tillegg- Inndata GoF'!G42)*AI44*('Tillegg- Inndata GoF'!E42/'Tillegg- Inndata GoF'!G42)*_xlfn.XLOOKUP(51, År_etter_ferdigstillelse,  IF(LEFT('Tillegg- Inndata GoF'!B42, 2)= 49, f_tid_x_f_tek_d_0_037, f_tid_x_f_tek_d_0_01)))</f>
        <v>0</v>
      </c>
      <c r="AG44" s="572">
        <f>IF(('Tillegg- Inndata GoF'!G42) = 0, 0,'Tillegg- Inndata GoF'!X42*Faktorer!$Z$58)</f>
        <v>0</v>
      </c>
      <c r="AH44" s="573">
        <f>IF(('Tillegg- Inndata GoF'!G42) = 0, 0,'Tillegg- Inndata GoF'!Z42+('Tillegg- Inndata GoF'!X42+'Tillegg- Inndata GoF'!Y42)*(1-Faktorer!$Z$58)*0.5)</f>
        <v>0</v>
      </c>
      <c r="AI44" s="574">
        <f>IF(('Tillegg- Inndata GoF'!G42) = 0, 0,'Tillegg- Inndata GoF'!AA42+('Tillegg- Inndata GoF'!X42+'Tillegg- Inndata GoF'!Y42)*(1-Faktorer!$Z$58)*0.5)</f>
        <v>0</v>
      </c>
      <c r="AK44" s="90">
        <f t="shared" si="1"/>
        <v>0</v>
      </c>
      <c r="AL44" s="91">
        <f>'Tillegg- Res. detaljert GoF'!N44</f>
        <v>0</v>
      </c>
      <c r="AM44" s="91" t="str">
        <f>IF(F44=0,"",('Tillegg- Inndata GoF'!E44+'Tillegg- Inndata GoF'!F44)*ROUNDDOWN('Tillegg- Inndata GoF'!I44,0)*(1+'Tillegg- Inndata GoF'!K44))</f>
        <v/>
      </c>
    </row>
    <row r="45" spans="2:39">
      <c r="B45" s="327">
        <f>'Tillegg- Inndata GoF'!B43</f>
        <v>0</v>
      </c>
      <c r="C45" s="328">
        <f>'Tillegg- Inndata GoF'!C43</f>
        <v>0</v>
      </c>
      <c r="D45" s="329">
        <f>'Tillegg- Inndata GoF'!D43</f>
        <v>0</v>
      </c>
      <c r="E45" s="661" cm="1">
        <f t="array" ref="E45">SUM(IFERROR(F45:AF45,0))</f>
        <v>0</v>
      </c>
      <c r="F45" s="330">
        <f>'Tillegg- Inndata GoF'!E43</f>
        <v>0</v>
      </c>
      <c r="G45" s="330">
        <f>IF('Tillegg- Inndata GoF'!AB43="Ja", -0.8*'Tillegg- Res. detaljert GoF'!$F45, 0)</f>
        <v>0</v>
      </c>
      <c r="H45" s="330">
        <f>IF('Tillegg- Inndata GoF'!AC43="Ja", -0.4*'Tillegg- Res. detaljert GoF'!$F45, 0)</f>
        <v>0</v>
      </c>
      <c r="I45" s="330">
        <f>IF('Tillegg- Inndata GoF'!AD43="Ja", -1*'Tillegg- Res. detaljert GoF'!$F45, 0)</f>
        <v>0</v>
      </c>
      <c r="J45" s="330">
        <f>'Tillegg- Inndata GoF'!O43*'Tillegg- Inndata GoF'!P43</f>
        <v>0</v>
      </c>
      <c r="K45" s="330">
        <f>MAX(-0.75*(SUM('Tillegg- Res. detaljert GoF'!F45:J45)),-'Tillegg- Inndata GoF'!O43*'Tillegg- Inndata GoF'!Q43)</f>
        <v>0</v>
      </c>
      <c r="L45" s="330">
        <f>'Tillegg- Inndata GoF'!S43*'Tillegg- Inndata GoF'!T43</f>
        <v>0</v>
      </c>
      <c r="M45" s="330">
        <f>MAX(-0.75*(SUM('Tillegg- Res. detaljert GoF'!F45:I45,L45)),-'Tillegg- Inndata GoF'!S43*'Tillegg- Inndata GoF'!U43)</f>
        <v>0</v>
      </c>
      <c r="N45" s="331">
        <f>'Tillegg- Inndata GoF'!F43</f>
        <v>0</v>
      </c>
      <c r="O45" s="330">
        <f>'Tillegg- Inndata GoF'!O43*'Tillegg- Inndata GoF'!R43</f>
        <v>0</v>
      </c>
      <c r="P45" s="332">
        <f>'Tillegg- Inndata GoF'!S43*'Tillegg- Inndata GoF'!V43</f>
        <v>0</v>
      </c>
      <c r="Q45" s="333">
        <f>SUM(F45:J45,L45)*'Tillegg- Inndata GoF'!K43</f>
        <v>0</v>
      </c>
      <c r="R45" s="333">
        <f>(K45+M45)*'Tillegg- Inndata GoF'!K43</f>
        <v>0</v>
      </c>
      <c r="S45" s="333">
        <f>SUM(N45:P45)*'Tillegg- Inndata GoF'!K43</f>
        <v>0</v>
      </c>
      <c r="T45" s="334">
        <f>('Tillegg- Inndata GoF'!G43+'Tillegg- Inndata GoF'!O43+'Tillegg- Inndata GoF'!S43)*'Tillegg- Inndata GoF'!K43*Transport_utslipp_til_avfallshånderting_per_kg</f>
        <v>0</v>
      </c>
      <c r="U45" s="330">
        <f>IF('Tillegg- Inndata GoF'!E43 = 0, 0, 1.833*'Tillegg- Inndata GoF'!X43*'Tillegg- Inndata GoF'!K43*('Tillegg- Inndata GoF'!G43*('Tillegg- Inndata GoF'!L43*0.5+'Tillegg- Inndata GoF'!M43*0.8) + (12/44)*('Tillegg- Inndata GoF'!O43*'Tillegg- Inndata GoF'!Q43+'Tillegg- Inndata GoF'!S43*'Tillegg- Inndata GoF'!U43)))</f>
        <v>0</v>
      </c>
      <c r="V45" s="335">
        <f>IF('Tillegg- Inndata GoF'!G43 = 0, 0,  MAX(-SUM(F45:J45,L45)*'Tillegg- Inndata GoF'!L43, -0.114*IF('Tillegg- Inndata GoF'!H43 &gt; 49, _xlfn.XLOOKUP(49, År_etter_ferdigstillelse, karbon_opptak_faktor), _xlfn.XLOOKUP('Tillegg- Inndata GoF'!H43, År_etter_ferdigstillelse, karbon_opptak_faktor))*'Tillegg- Inndata GoF'!G43*'Tillegg- Inndata GoF'!L43*0.5))</f>
        <v>0</v>
      </c>
      <c r="W45" s="333">
        <f>IF('Tillegg- Inndata GoF'!G43=0,0,IF('Tillegg- Inndata GoF'!H43&gt;49,-0.064*'Tillegg- Inndata GoF'!G43*'Tillegg- Inndata GoF'!N43,-0.037*'Tillegg- Inndata GoF'!J43*'Tillegg- Inndata GoF'!N43))</f>
        <v>0</v>
      </c>
      <c r="X45" s="331" cm="1">
        <f t="array" ref="X45">IF(SUM(F45:J45,L45)=0, 0, SUM(F45:J45,L45)*(1+'Tillegg-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Y45" s="330" cm="1">
        <f t="array" ref="Y45">IF(X45=0, 0, SUM(K45,M45)*(1+'Tillegg-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Z45" s="336" cm="1">
        <f t="array" ref="Z45">IF(X45=0, 0, SUM(N45:P45)*(1+'Tillegg-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AA45" s="336" cm="1">
        <f t="array" ref="AA45">IF(X45=0, 0, ('Tillegg- Inndata GoF'!G43+'Tillegg- Inndata GoF'!O43+'Tillegg- Inndata GoF'!S43)*(1+'Tillegg- Inndata GoF'!K43)*Transport_utslipp_til_avfallshånderting_per_kg*IF('Tillegg- Inndata GoF'!H43&gt;50, 0, _xlfn.XLOOKUP('Tillegg- Inndata GoF'!H43, År_etter_ferdigstillelse, IF(VALUE(LEFT('Tillegg- Inndata GoF'!B43, 2))= 49, f_tid_x_f_tek_d_0_037_kumulativ, f_tid_x_f_tek_d_0_01_kumulativ))))</f>
        <v>0</v>
      </c>
      <c r="AB45" s="334" cm="1">
        <f t="array" ref="AB45">IF(X45=0, 0,1.833*'Tillegg- Inndata GoF'!J43*('Tillegg- Inndata GoF'!X43*_xlfn.XLOOKUP(IF('Tillegg- Inndata GoF'!I43&lt;2,'Tillegg- Inndata GoF'!H43,'Tillegg- Inndata GoF'!H43*2), År_etter_ferdigstillelse, Faktorer!$Z$7:$Z$58))*('Tillegg- Inndata GoF'!L43*0.5+'Tillegg- Inndata GoF'!M43*0.8)*_xlfn.XLOOKUP(IF('Tillegg- Inndata GoF'!I43&lt;2,'Tillegg- Inndata GoF'!H43,'Tillegg- Inndata GoF'!H43*2), År_etter_ferdigstillelse,  IF(LEFT('Tillegg- Inndata GoF'!B43, 2)= 49, f_tid_x_f_tek_d_0_037, f_tid_x_f_tek_d_0_01)))</f>
        <v>0</v>
      </c>
      <c r="AC45" s="335">
        <f>IF(('Tillegg- Inndata GoF'!G43) = 0, 0,(('Tillegg- Inndata GoF'!G43)*((AG45+AI45)*Transport_utslipp_til_avfallshånderting_per_kg)+('Tillegg- Inndata GoF'!Z43*'ZERO-B Beregning'!D145)*IF('ZERO-B Beregning'!F146=0,'ZERO-B Beregning'!D146,'ZERO-B Beregning'!F146))*_xlfn.XLOOKUP(51, År_etter_ferdigstillelse, f_tid_x_f_tek_d_0_01))</f>
        <v>0</v>
      </c>
      <c r="AD45" s="337">
        <f>IF(('Tillegg- Inndata GoF'!G43) = 0, 0,1.833*('Tillegg- Inndata GoF'!G43*('Tillegg- Inndata GoF'!L43*0.5+'Tillegg- Inndata GoF'!M43*0.8)*AG45*_xlfn.XLOOKUP(51, År_etter_ferdigstillelse,  f_tid_x_f_tek_d_0_01)))</f>
        <v>0</v>
      </c>
      <c r="AE45" s="333" cm="1">
        <f t="array" ref="AE45">IF(('Tillegg- Inndata GoF'!G43) = 0, 0,-0.8*('Tillegg- Inndata GoF'!G43)*AH45*('Tillegg- Inndata GoF'!E43/'Tillegg- Inndata GoF'!G43)*_xlfn.XLOOKUP(51, År_etter_ferdigstillelse,  IF(LEFT('Tillegg- Inndata GoF'!B43, 2)= 49, f_tid_x_f_tek_d_0_037, f_tid_x_f_tek_d_0_01)))</f>
        <v>0</v>
      </c>
      <c r="AF45" s="338" cm="1">
        <f t="array" ref="AF45">IF(('Tillegg- Inndata GoF'!G43) = 0, 0,-0.1*('Tillegg- Inndata GoF'!G43)*AI45*('Tillegg- Inndata GoF'!E43/'Tillegg- Inndata GoF'!G43)*_xlfn.XLOOKUP(51, År_etter_ferdigstillelse,  IF(LEFT('Tillegg- Inndata GoF'!B43, 2)= 49, f_tid_x_f_tek_d_0_037, f_tid_x_f_tek_d_0_01)))</f>
        <v>0</v>
      </c>
      <c r="AG45" s="572">
        <f>IF(('Tillegg- Inndata GoF'!G43) = 0, 0,'Tillegg- Inndata GoF'!X43*Faktorer!$Z$58)</f>
        <v>0</v>
      </c>
      <c r="AH45" s="573">
        <f>IF(('Tillegg- Inndata GoF'!G43) = 0, 0,'Tillegg- Inndata GoF'!Z43+('Tillegg- Inndata GoF'!X43+'Tillegg- Inndata GoF'!Y43)*(1-Faktorer!$Z$58)*0.5)</f>
        <v>0</v>
      </c>
      <c r="AI45" s="574">
        <f>IF(('Tillegg- Inndata GoF'!G43) = 0, 0,'Tillegg- Inndata GoF'!AA43+('Tillegg- Inndata GoF'!X43+'Tillegg- Inndata GoF'!Y43)*(1-Faktorer!$Z$58)*0.5)</f>
        <v>0</v>
      </c>
      <c r="AK45" s="90">
        <f t="shared" si="1"/>
        <v>0</v>
      </c>
      <c r="AL45" s="91">
        <f>'Tillegg- Res. detaljert GoF'!N45</f>
        <v>0</v>
      </c>
      <c r="AM45" s="91" t="str">
        <f>IF(F45=0,"",('Tillegg- Inndata GoF'!E45+'Tillegg- Inndata GoF'!F45)*ROUNDDOWN('Tillegg- Inndata GoF'!I45,0)*(1+'Tillegg- Inndata GoF'!K45))</f>
        <v/>
      </c>
    </row>
    <row r="46" spans="2:39">
      <c r="B46" s="327">
        <f>'Tillegg- Inndata GoF'!B44</f>
        <v>0</v>
      </c>
      <c r="C46" s="328">
        <f>'Tillegg- Inndata GoF'!C44</f>
        <v>0</v>
      </c>
      <c r="D46" s="329">
        <f>'Tillegg- Inndata GoF'!D44</f>
        <v>0</v>
      </c>
      <c r="E46" s="661" cm="1">
        <f t="array" ref="E46">SUM(IFERROR(F46:AF46,0))</f>
        <v>0</v>
      </c>
      <c r="F46" s="330">
        <f>'Tillegg- Inndata GoF'!E44</f>
        <v>0</v>
      </c>
      <c r="G46" s="330">
        <f>IF('Tillegg- Inndata GoF'!AB44="Ja", -0.8*'Tillegg- Res. detaljert GoF'!$F46, 0)</f>
        <v>0</v>
      </c>
      <c r="H46" s="330">
        <f>IF('Tillegg- Inndata GoF'!AC44="Ja", -0.4*'Tillegg- Res. detaljert GoF'!$F46, 0)</f>
        <v>0</v>
      </c>
      <c r="I46" s="330">
        <f>IF('Tillegg- Inndata GoF'!AD44="Ja", -1*'Tillegg- Res. detaljert GoF'!$F46, 0)</f>
        <v>0</v>
      </c>
      <c r="J46" s="330">
        <f>'Tillegg- Inndata GoF'!O44*'Tillegg- Inndata GoF'!P44</f>
        <v>0</v>
      </c>
      <c r="K46" s="330">
        <f>MAX(-0.75*(SUM('Tillegg- Res. detaljert GoF'!F46:J46)),-'Tillegg- Inndata GoF'!O44*'Tillegg- Inndata GoF'!Q44)</f>
        <v>0</v>
      </c>
      <c r="L46" s="330">
        <f>'Tillegg- Inndata GoF'!S44*'Tillegg- Inndata GoF'!T44</f>
        <v>0</v>
      </c>
      <c r="M46" s="330">
        <f>MAX(-0.75*(SUM('Tillegg- Res. detaljert GoF'!F46:I46,L46)),-'Tillegg- Inndata GoF'!S44*'Tillegg- Inndata GoF'!U44)</f>
        <v>0</v>
      </c>
      <c r="N46" s="331">
        <f>'Tillegg- Inndata GoF'!F44</f>
        <v>0</v>
      </c>
      <c r="O46" s="330">
        <f>'Tillegg- Inndata GoF'!O44*'Tillegg- Inndata GoF'!R44</f>
        <v>0</v>
      </c>
      <c r="P46" s="332">
        <f>'Tillegg- Inndata GoF'!S44*'Tillegg- Inndata GoF'!V44</f>
        <v>0</v>
      </c>
      <c r="Q46" s="333">
        <f>SUM(F46:J46,L46)*'Tillegg- Inndata GoF'!K44</f>
        <v>0</v>
      </c>
      <c r="R46" s="333">
        <f>(K46+M46)*'Tillegg- Inndata GoF'!K44</f>
        <v>0</v>
      </c>
      <c r="S46" s="333">
        <f>SUM(N46:P46)*'Tillegg- Inndata GoF'!K44</f>
        <v>0</v>
      </c>
      <c r="T46" s="334">
        <f>('Tillegg- Inndata GoF'!G44+'Tillegg- Inndata GoF'!O44+'Tillegg- Inndata GoF'!S44)*'Tillegg- Inndata GoF'!K44*Transport_utslipp_til_avfallshånderting_per_kg</f>
        <v>0</v>
      </c>
      <c r="U46" s="330">
        <f>IF('Tillegg- Inndata GoF'!E44 = 0, 0, 1.833*'Tillegg- Inndata GoF'!X44*'Tillegg- Inndata GoF'!K44*('Tillegg- Inndata GoF'!G44*('Tillegg- Inndata GoF'!L44*0.5+'Tillegg- Inndata GoF'!M44*0.8) + (12/44)*('Tillegg- Inndata GoF'!O44*'Tillegg- Inndata GoF'!Q44+'Tillegg- Inndata GoF'!S44*'Tillegg- Inndata GoF'!U44)))</f>
        <v>0</v>
      </c>
      <c r="V46" s="335">
        <f>IF('Tillegg- Inndata GoF'!G44 = 0, 0,  MAX(-SUM(F46:J46,L46)*'Tillegg- Inndata GoF'!L44, -0.114*IF('Tillegg- Inndata GoF'!H44 &gt; 49, _xlfn.XLOOKUP(49, År_etter_ferdigstillelse, karbon_opptak_faktor), _xlfn.XLOOKUP('Tillegg- Inndata GoF'!H44, År_etter_ferdigstillelse, karbon_opptak_faktor))*'Tillegg- Inndata GoF'!G44*'Tillegg- Inndata GoF'!L44*0.5))</f>
        <v>0</v>
      </c>
      <c r="W46" s="333">
        <f>IF('Tillegg- Inndata GoF'!G44=0,0,IF('Tillegg- Inndata GoF'!H44&gt;49,-0.064*'Tillegg- Inndata GoF'!G44*'Tillegg- Inndata GoF'!N44,-0.037*'Tillegg- Inndata GoF'!J44*'Tillegg- Inndata GoF'!N44))</f>
        <v>0</v>
      </c>
      <c r="X46" s="331" cm="1">
        <f t="array" ref="X46">IF(SUM(F46:J46,L46)=0, 0, SUM(F46:J46,L46)*(1+'Tillegg-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Y46" s="330" cm="1">
        <f t="array" ref="Y46">IF(X46=0, 0, SUM(K46,M46)*(1+'Tillegg-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Z46" s="336" cm="1">
        <f t="array" ref="Z46">IF(X46=0, 0, SUM(N46:P46)*(1+'Tillegg-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AA46" s="336" cm="1">
        <f t="array" ref="AA46">IF(X46=0, 0, ('Tillegg- Inndata GoF'!G44+'Tillegg- Inndata GoF'!O44+'Tillegg- Inndata GoF'!S44)*(1+'Tillegg- Inndata GoF'!K44)*Transport_utslipp_til_avfallshånderting_per_kg*IF('Tillegg- Inndata GoF'!H44&gt;50, 0, _xlfn.XLOOKUP('Tillegg- Inndata GoF'!H44, År_etter_ferdigstillelse, IF(VALUE(LEFT('Tillegg- Inndata GoF'!B44, 2))= 49, f_tid_x_f_tek_d_0_037_kumulativ, f_tid_x_f_tek_d_0_01_kumulativ))))</f>
        <v>0</v>
      </c>
      <c r="AB46" s="334" cm="1">
        <f t="array" ref="AB46">IF(X46=0, 0,1.833*'Tillegg- Inndata GoF'!J44*('Tillegg- Inndata GoF'!X44*_xlfn.XLOOKUP(IF('Tillegg- Inndata GoF'!I44&lt;2,'Tillegg- Inndata GoF'!H44,'Tillegg- Inndata GoF'!H44*2), År_etter_ferdigstillelse, Faktorer!$Z$7:$Z$58))*('Tillegg- Inndata GoF'!L44*0.5+'Tillegg- Inndata GoF'!M44*0.8)*_xlfn.XLOOKUP(IF('Tillegg- Inndata GoF'!I44&lt;2,'Tillegg- Inndata GoF'!H44,'Tillegg- Inndata GoF'!H44*2), År_etter_ferdigstillelse,  IF(LEFT('Tillegg- Inndata GoF'!B44, 2)= 49, f_tid_x_f_tek_d_0_037, f_tid_x_f_tek_d_0_01)))</f>
        <v>0</v>
      </c>
      <c r="AC46" s="335">
        <f>IF(('Tillegg- Inndata GoF'!G44) = 0, 0,(('Tillegg- Inndata GoF'!G44)*((AG46+AI46)*Transport_utslipp_til_avfallshånderting_per_kg)+('Tillegg- Inndata GoF'!Z44*'ZERO-B Beregning'!D146)*IF('ZERO-B Beregning'!F147=0,'ZERO-B Beregning'!D147,'ZERO-B Beregning'!F147))*_xlfn.XLOOKUP(51, År_etter_ferdigstillelse, f_tid_x_f_tek_d_0_01))</f>
        <v>0</v>
      </c>
      <c r="AD46" s="337">
        <f>IF(('Tillegg- Inndata GoF'!G44) = 0, 0,1.833*('Tillegg- Inndata GoF'!G44*('Tillegg- Inndata GoF'!L44*0.5+'Tillegg- Inndata GoF'!M44*0.8)*AG46*_xlfn.XLOOKUP(51, År_etter_ferdigstillelse,  f_tid_x_f_tek_d_0_01)))</f>
        <v>0</v>
      </c>
      <c r="AE46" s="333" cm="1">
        <f t="array" ref="AE46">IF(('Tillegg- Inndata GoF'!G44) = 0, 0,-0.8*('Tillegg- Inndata GoF'!G44)*AH46*('Tillegg- Inndata GoF'!E44/'Tillegg- Inndata GoF'!G44)*_xlfn.XLOOKUP(51, År_etter_ferdigstillelse,  IF(LEFT('Tillegg- Inndata GoF'!B44, 2)= 49, f_tid_x_f_tek_d_0_037, f_tid_x_f_tek_d_0_01)))</f>
        <v>0</v>
      </c>
      <c r="AF46" s="338" cm="1">
        <f t="array" ref="AF46">IF(('Tillegg- Inndata GoF'!G44) = 0, 0,-0.1*('Tillegg- Inndata GoF'!G44)*AI46*('Tillegg- Inndata GoF'!E44/'Tillegg- Inndata GoF'!G44)*_xlfn.XLOOKUP(51, År_etter_ferdigstillelse,  IF(LEFT('Tillegg- Inndata GoF'!B44, 2)= 49, f_tid_x_f_tek_d_0_037, f_tid_x_f_tek_d_0_01)))</f>
        <v>0</v>
      </c>
      <c r="AG46" s="572">
        <f>IF(('Tillegg- Inndata GoF'!G44) = 0, 0,'Tillegg- Inndata GoF'!X44*Faktorer!$Z$58)</f>
        <v>0</v>
      </c>
      <c r="AH46" s="573">
        <f>IF(('Tillegg- Inndata GoF'!G44) = 0, 0,'Tillegg- Inndata GoF'!Z44+('Tillegg- Inndata GoF'!X44+'Tillegg- Inndata GoF'!Y44)*(1-Faktorer!$Z$58)*0.5)</f>
        <v>0</v>
      </c>
      <c r="AI46" s="574">
        <f>IF(('Tillegg- Inndata GoF'!G44) = 0, 0,'Tillegg- Inndata GoF'!AA44+('Tillegg- Inndata GoF'!X44+'Tillegg- Inndata GoF'!Y44)*(1-Faktorer!$Z$58)*0.5)</f>
        <v>0</v>
      </c>
      <c r="AK46" s="90">
        <f t="shared" si="1"/>
        <v>0</v>
      </c>
      <c r="AL46" s="91">
        <f>'Tillegg- Res. detaljert GoF'!N46</f>
        <v>0</v>
      </c>
      <c r="AM46" s="91" t="str">
        <f>IF(F46=0,"",('Tillegg- Inndata GoF'!E46+'Tillegg- Inndata GoF'!F46)*ROUNDDOWN('Tillegg- Inndata GoF'!I46,0)*(1+'Tillegg- Inndata GoF'!K46))</f>
        <v/>
      </c>
    </row>
    <row r="47" spans="2:39">
      <c r="B47" s="327">
        <f>'Tillegg- Inndata GoF'!B45</f>
        <v>0</v>
      </c>
      <c r="C47" s="328">
        <f>'Tillegg- Inndata GoF'!C45</f>
        <v>0</v>
      </c>
      <c r="D47" s="329">
        <f>'Tillegg- Inndata GoF'!D45</f>
        <v>0</v>
      </c>
      <c r="E47" s="661" cm="1">
        <f t="array" ref="E47">SUM(IFERROR(F47:AF47,0))</f>
        <v>0</v>
      </c>
      <c r="F47" s="330">
        <f>'Tillegg- Inndata GoF'!E45</f>
        <v>0</v>
      </c>
      <c r="G47" s="330">
        <f>IF('Tillegg- Inndata GoF'!AB45="Ja", -0.8*'Tillegg- Res. detaljert GoF'!$F47, 0)</f>
        <v>0</v>
      </c>
      <c r="H47" s="330">
        <f>IF('Tillegg- Inndata GoF'!AC45="Ja", -0.4*'Tillegg- Res. detaljert GoF'!$F47, 0)</f>
        <v>0</v>
      </c>
      <c r="I47" s="330">
        <f>IF('Tillegg- Inndata GoF'!AD45="Ja", -1*'Tillegg- Res. detaljert GoF'!$F47, 0)</f>
        <v>0</v>
      </c>
      <c r="J47" s="330">
        <f>'Tillegg- Inndata GoF'!O45*'Tillegg- Inndata GoF'!P45</f>
        <v>0</v>
      </c>
      <c r="K47" s="330">
        <f>MAX(-0.75*(SUM('Tillegg- Res. detaljert GoF'!F47:J47)),-'Tillegg- Inndata GoF'!O45*'Tillegg- Inndata GoF'!Q45)</f>
        <v>0</v>
      </c>
      <c r="L47" s="330">
        <f>'Tillegg- Inndata GoF'!S45*'Tillegg- Inndata GoF'!T45</f>
        <v>0</v>
      </c>
      <c r="M47" s="330">
        <f>MAX(-0.75*(SUM('Tillegg- Res. detaljert GoF'!F47:I47,L47)),-'Tillegg- Inndata GoF'!S45*'Tillegg- Inndata GoF'!U45)</f>
        <v>0</v>
      </c>
      <c r="N47" s="331">
        <f>'Tillegg- Inndata GoF'!F45</f>
        <v>0</v>
      </c>
      <c r="O47" s="330">
        <f>'Tillegg- Inndata GoF'!O45*'Tillegg- Inndata GoF'!R45</f>
        <v>0</v>
      </c>
      <c r="P47" s="332">
        <f>'Tillegg- Inndata GoF'!S45*'Tillegg- Inndata GoF'!V45</f>
        <v>0</v>
      </c>
      <c r="Q47" s="333">
        <f>SUM(F47:J47,L47)*'Tillegg- Inndata GoF'!K45</f>
        <v>0</v>
      </c>
      <c r="R47" s="333">
        <f>(K47+M47)*'Tillegg- Inndata GoF'!K45</f>
        <v>0</v>
      </c>
      <c r="S47" s="333">
        <f>SUM(N47:P47)*'Tillegg- Inndata GoF'!K45</f>
        <v>0</v>
      </c>
      <c r="T47" s="334">
        <f>('Tillegg- Inndata GoF'!G45+'Tillegg- Inndata GoF'!O45+'Tillegg- Inndata GoF'!S45)*'Tillegg- Inndata GoF'!K45*Transport_utslipp_til_avfallshånderting_per_kg</f>
        <v>0</v>
      </c>
      <c r="U47" s="330">
        <f>IF('Tillegg- Inndata GoF'!E45 = 0, 0, 1.833*'Tillegg- Inndata GoF'!X45*'Tillegg- Inndata GoF'!K45*('Tillegg- Inndata GoF'!G45*('Tillegg- Inndata GoF'!L45*0.5+'Tillegg- Inndata GoF'!M45*0.8) + (12/44)*('Tillegg- Inndata GoF'!O45*'Tillegg- Inndata GoF'!Q45+'Tillegg- Inndata GoF'!S45*'Tillegg- Inndata GoF'!U45)))</f>
        <v>0</v>
      </c>
      <c r="V47" s="335">
        <f>IF('Tillegg- Inndata GoF'!G45 = 0, 0,  MAX(-SUM(F47:J47,L47)*'Tillegg- Inndata GoF'!L45, -0.114*IF('Tillegg- Inndata GoF'!H45 &gt; 49, _xlfn.XLOOKUP(49, År_etter_ferdigstillelse, karbon_opptak_faktor), _xlfn.XLOOKUP('Tillegg- Inndata GoF'!H45, År_etter_ferdigstillelse, karbon_opptak_faktor))*'Tillegg- Inndata GoF'!G45*'Tillegg- Inndata GoF'!L45*0.5))</f>
        <v>0</v>
      </c>
      <c r="W47" s="333">
        <f>IF('Tillegg- Inndata GoF'!G45=0,0,IF('Tillegg- Inndata GoF'!H45&gt;49,-0.064*'Tillegg- Inndata GoF'!G45*'Tillegg- Inndata GoF'!N45,-0.037*'Tillegg- Inndata GoF'!J45*'Tillegg- Inndata GoF'!N45))</f>
        <v>0</v>
      </c>
      <c r="X47" s="331" cm="1">
        <f t="array" ref="X47">IF(SUM(F47:J47,L47)=0, 0, SUM(F47:J47,L47)*(1+'Tillegg-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Y47" s="330" cm="1">
        <f t="array" ref="Y47">IF(X47=0, 0, SUM(K47,M47)*(1+'Tillegg-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Z47" s="336" cm="1">
        <f t="array" ref="Z47">IF(X47=0, 0, SUM(N47:P47)*(1+'Tillegg-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AA47" s="336" cm="1">
        <f t="array" ref="AA47">IF(X47=0, 0, ('Tillegg- Inndata GoF'!G45+'Tillegg- Inndata GoF'!O45+'Tillegg- Inndata GoF'!S45)*(1+'Tillegg- Inndata GoF'!K45)*Transport_utslipp_til_avfallshånderting_per_kg*IF('Tillegg- Inndata GoF'!H45&gt;50, 0, _xlfn.XLOOKUP('Tillegg- Inndata GoF'!H45, År_etter_ferdigstillelse, IF(VALUE(LEFT('Tillegg- Inndata GoF'!B45, 2))= 49, f_tid_x_f_tek_d_0_037_kumulativ, f_tid_x_f_tek_d_0_01_kumulativ))))</f>
        <v>0</v>
      </c>
      <c r="AB47" s="334" cm="1">
        <f t="array" ref="AB47">IF(X47=0, 0,1.833*'Tillegg- Inndata GoF'!J45*('Tillegg- Inndata GoF'!X45*_xlfn.XLOOKUP(IF('Tillegg- Inndata GoF'!I45&lt;2,'Tillegg- Inndata GoF'!H45,'Tillegg- Inndata GoF'!H45*2), År_etter_ferdigstillelse, Faktorer!$Z$7:$Z$58))*('Tillegg- Inndata GoF'!L45*0.5+'Tillegg- Inndata GoF'!M45*0.8)*_xlfn.XLOOKUP(IF('Tillegg- Inndata GoF'!I45&lt;2,'Tillegg- Inndata GoF'!H45,'Tillegg- Inndata GoF'!H45*2), År_etter_ferdigstillelse,  IF(LEFT('Tillegg- Inndata GoF'!B45, 2)= 49, f_tid_x_f_tek_d_0_037, f_tid_x_f_tek_d_0_01)))</f>
        <v>0</v>
      </c>
      <c r="AC47" s="335">
        <f>IF(('Tillegg- Inndata GoF'!G45) = 0, 0,(('Tillegg- Inndata GoF'!G45)*((AG47+AI47)*Transport_utslipp_til_avfallshånderting_per_kg)+('Tillegg- Inndata GoF'!Z45*'ZERO-B Beregning'!D147)*IF('ZERO-B Beregning'!F148=0,'ZERO-B Beregning'!D148,'ZERO-B Beregning'!F148))*_xlfn.XLOOKUP(51, År_etter_ferdigstillelse, f_tid_x_f_tek_d_0_01))</f>
        <v>0</v>
      </c>
      <c r="AD47" s="337">
        <f>IF(('Tillegg- Inndata GoF'!G45) = 0, 0,1.833*('Tillegg- Inndata GoF'!G45*('Tillegg- Inndata GoF'!L45*0.5+'Tillegg- Inndata GoF'!M45*0.8)*AG47*_xlfn.XLOOKUP(51, År_etter_ferdigstillelse,  f_tid_x_f_tek_d_0_01)))</f>
        <v>0</v>
      </c>
      <c r="AE47" s="333" cm="1">
        <f t="array" ref="AE47">IF(('Tillegg- Inndata GoF'!G45) = 0, 0,-0.8*('Tillegg- Inndata GoF'!G45)*AH47*('Tillegg- Inndata GoF'!E45/'Tillegg- Inndata GoF'!G45)*_xlfn.XLOOKUP(51, År_etter_ferdigstillelse,  IF(LEFT('Tillegg- Inndata GoF'!B45, 2)= 49, f_tid_x_f_tek_d_0_037, f_tid_x_f_tek_d_0_01)))</f>
        <v>0</v>
      </c>
      <c r="AF47" s="338" cm="1">
        <f t="array" ref="AF47">IF(('Tillegg- Inndata GoF'!G45) = 0, 0,-0.1*('Tillegg- Inndata GoF'!G45)*AI47*('Tillegg- Inndata GoF'!E45/'Tillegg- Inndata GoF'!G45)*_xlfn.XLOOKUP(51, År_etter_ferdigstillelse,  IF(LEFT('Tillegg- Inndata GoF'!B45, 2)= 49, f_tid_x_f_tek_d_0_037, f_tid_x_f_tek_d_0_01)))</f>
        <v>0</v>
      </c>
      <c r="AG47" s="572">
        <f>IF(('Tillegg- Inndata GoF'!G45) = 0, 0,'Tillegg- Inndata GoF'!X45*Faktorer!$Z$58)</f>
        <v>0</v>
      </c>
      <c r="AH47" s="573">
        <f>IF(('Tillegg- Inndata GoF'!G45) = 0, 0,'Tillegg- Inndata GoF'!Z45+('Tillegg- Inndata GoF'!X45+'Tillegg- Inndata GoF'!Y45)*(1-Faktorer!$Z$58)*0.5)</f>
        <v>0</v>
      </c>
      <c r="AI47" s="574">
        <f>IF(('Tillegg- Inndata GoF'!G45) = 0, 0,'Tillegg- Inndata GoF'!AA45+('Tillegg- Inndata GoF'!X45+'Tillegg- Inndata GoF'!Y45)*(1-Faktorer!$Z$58)*0.5)</f>
        <v>0</v>
      </c>
      <c r="AK47" s="90">
        <f t="shared" si="1"/>
        <v>0</v>
      </c>
      <c r="AL47" s="91">
        <f>'Tillegg- Res. detaljert GoF'!N47</f>
        <v>0</v>
      </c>
      <c r="AM47" s="91" t="str">
        <f>IF(F47=0,"",('Tillegg- Inndata GoF'!E47+'Tillegg- Inndata GoF'!F47)*ROUNDDOWN('Tillegg- Inndata GoF'!I47,0)*(1+'Tillegg- Inndata GoF'!K47))</f>
        <v/>
      </c>
    </row>
    <row r="48" spans="2:39">
      <c r="B48" s="327">
        <f>'Tillegg- Inndata GoF'!B46</f>
        <v>0</v>
      </c>
      <c r="C48" s="328">
        <f>'Tillegg- Inndata GoF'!C46</f>
        <v>0</v>
      </c>
      <c r="D48" s="329">
        <f>'Tillegg- Inndata GoF'!D46</f>
        <v>0</v>
      </c>
      <c r="E48" s="661" cm="1">
        <f t="array" ref="E48">SUM(IFERROR(F48:AF48,0))</f>
        <v>0</v>
      </c>
      <c r="F48" s="330">
        <f>'Tillegg- Inndata GoF'!E46</f>
        <v>0</v>
      </c>
      <c r="G48" s="330">
        <f>IF('Tillegg- Inndata GoF'!AB46="Ja", -0.8*'Tillegg- Res. detaljert GoF'!$F48, 0)</f>
        <v>0</v>
      </c>
      <c r="H48" s="330">
        <f>IF('Tillegg- Inndata GoF'!AC46="Ja", -0.4*'Tillegg- Res. detaljert GoF'!$F48, 0)</f>
        <v>0</v>
      </c>
      <c r="I48" s="330">
        <f>IF('Tillegg- Inndata GoF'!AD46="Ja", -1*'Tillegg- Res. detaljert GoF'!$F48, 0)</f>
        <v>0</v>
      </c>
      <c r="J48" s="330">
        <f>'Tillegg- Inndata GoF'!O46*'Tillegg- Inndata GoF'!P46</f>
        <v>0</v>
      </c>
      <c r="K48" s="330">
        <f>MAX(-0.75*(SUM('Tillegg- Res. detaljert GoF'!F48:J48)),-'Tillegg- Inndata GoF'!O46*'Tillegg- Inndata GoF'!Q46)</f>
        <v>0</v>
      </c>
      <c r="L48" s="330">
        <f>'Tillegg- Inndata GoF'!S46*'Tillegg- Inndata GoF'!T46</f>
        <v>0</v>
      </c>
      <c r="M48" s="330">
        <f>MAX(-0.75*(SUM('Tillegg- Res. detaljert GoF'!F48:I48,L48)),-'Tillegg- Inndata GoF'!S46*'Tillegg- Inndata GoF'!U46)</f>
        <v>0</v>
      </c>
      <c r="N48" s="331">
        <f>'Tillegg- Inndata GoF'!F46</f>
        <v>0</v>
      </c>
      <c r="O48" s="330">
        <f>'Tillegg- Inndata GoF'!O46*'Tillegg- Inndata GoF'!R46</f>
        <v>0</v>
      </c>
      <c r="P48" s="332">
        <f>'Tillegg- Inndata GoF'!S46*'Tillegg- Inndata GoF'!V46</f>
        <v>0</v>
      </c>
      <c r="Q48" s="333">
        <f>SUM(F48:J48,L48)*'Tillegg- Inndata GoF'!K46</f>
        <v>0</v>
      </c>
      <c r="R48" s="333">
        <f>(K48+M48)*'Tillegg- Inndata GoF'!K46</f>
        <v>0</v>
      </c>
      <c r="S48" s="333">
        <f>SUM(N48:P48)*'Tillegg- Inndata GoF'!K46</f>
        <v>0</v>
      </c>
      <c r="T48" s="334">
        <f>('Tillegg- Inndata GoF'!G46+'Tillegg- Inndata GoF'!O46+'Tillegg- Inndata GoF'!S46)*'Tillegg- Inndata GoF'!K46*Transport_utslipp_til_avfallshånderting_per_kg</f>
        <v>0</v>
      </c>
      <c r="U48" s="330">
        <f>IF('Tillegg- Inndata GoF'!E46 = 0, 0, 1.833*'Tillegg- Inndata GoF'!X46*'Tillegg- Inndata GoF'!K46*('Tillegg- Inndata GoF'!G46*('Tillegg- Inndata GoF'!L46*0.5+'Tillegg- Inndata GoF'!M46*0.8) + (12/44)*('Tillegg- Inndata GoF'!O46*'Tillegg- Inndata GoF'!Q46+'Tillegg- Inndata GoF'!S46*'Tillegg- Inndata GoF'!U46)))</f>
        <v>0</v>
      </c>
      <c r="V48" s="335">
        <f>IF('Tillegg- Inndata GoF'!G46 = 0, 0,  MAX(-SUM(F48:J48,L48)*'Tillegg- Inndata GoF'!L46, -0.114*IF('Tillegg- Inndata GoF'!H46 &gt; 49, _xlfn.XLOOKUP(49, År_etter_ferdigstillelse, karbon_opptak_faktor), _xlfn.XLOOKUP('Tillegg- Inndata GoF'!H46, År_etter_ferdigstillelse, karbon_opptak_faktor))*'Tillegg- Inndata GoF'!G46*'Tillegg- Inndata GoF'!L46*0.5))</f>
        <v>0</v>
      </c>
      <c r="W48" s="333">
        <f>IF('Tillegg- Inndata GoF'!G46=0,0,IF('Tillegg- Inndata GoF'!H46&gt;49,-0.064*'Tillegg- Inndata GoF'!G46*'Tillegg- Inndata GoF'!N46,-0.037*'Tillegg- Inndata GoF'!J46*'Tillegg- Inndata GoF'!N46))</f>
        <v>0</v>
      </c>
      <c r="X48" s="331" cm="1">
        <f t="array" ref="X48">IF(SUM(F48:J48,L48)=0, 0, SUM(F48:J48,L48)*(1+'Tillegg-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Y48" s="330" cm="1">
        <f t="array" ref="Y48">IF(X48=0, 0, SUM(K48,M48)*(1+'Tillegg-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Z48" s="336" cm="1">
        <f t="array" ref="Z48">IF(X48=0, 0, SUM(N48:P48)*(1+'Tillegg-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AA48" s="336" cm="1">
        <f t="array" ref="AA48">IF(X48=0, 0, ('Tillegg- Inndata GoF'!G46+'Tillegg- Inndata GoF'!O46+'Tillegg- Inndata GoF'!S46)*(1+'Tillegg- Inndata GoF'!K46)*Transport_utslipp_til_avfallshånderting_per_kg*IF('Tillegg- Inndata GoF'!H46&gt;50, 0, _xlfn.XLOOKUP('Tillegg- Inndata GoF'!H46, År_etter_ferdigstillelse, IF(VALUE(LEFT('Tillegg- Inndata GoF'!B46, 2))= 49, f_tid_x_f_tek_d_0_037_kumulativ, f_tid_x_f_tek_d_0_01_kumulativ))))</f>
        <v>0</v>
      </c>
      <c r="AB48" s="334" cm="1">
        <f t="array" ref="AB48">IF(X48=0, 0,1.833*'Tillegg- Inndata GoF'!J46*('Tillegg- Inndata GoF'!X46*_xlfn.XLOOKUP(IF('Tillegg- Inndata GoF'!I46&lt;2,'Tillegg- Inndata GoF'!H46,'Tillegg- Inndata GoF'!H46*2), År_etter_ferdigstillelse, Faktorer!$Z$7:$Z$58))*('Tillegg- Inndata GoF'!L46*0.5+'Tillegg- Inndata GoF'!M46*0.8)*_xlfn.XLOOKUP(IF('Tillegg- Inndata GoF'!I46&lt;2,'Tillegg- Inndata GoF'!H46,'Tillegg- Inndata GoF'!H46*2), År_etter_ferdigstillelse,  IF(LEFT('Tillegg- Inndata GoF'!B46, 2)= 49, f_tid_x_f_tek_d_0_037, f_tid_x_f_tek_d_0_01)))</f>
        <v>0</v>
      </c>
      <c r="AC48" s="335">
        <f>IF(('Tillegg- Inndata GoF'!G46) = 0, 0,(('Tillegg- Inndata GoF'!G46)*((AG48+AI48)*Transport_utslipp_til_avfallshånderting_per_kg)+('Tillegg- Inndata GoF'!Z46*'ZERO-B Beregning'!D148)*IF('ZERO-B Beregning'!F149=0,'ZERO-B Beregning'!D149,'ZERO-B Beregning'!F149))*_xlfn.XLOOKUP(51, År_etter_ferdigstillelse, f_tid_x_f_tek_d_0_01))</f>
        <v>0</v>
      </c>
      <c r="AD48" s="337">
        <f>IF(('Tillegg- Inndata GoF'!G46) = 0, 0,1.833*('Tillegg- Inndata GoF'!G46*('Tillegg- Inndata GoF'!L46*0.5+'Tillegg- Inndata GoF'!M46*0.8)*AG48*_xlfn.XLOOKUP(51, År_etter_ferdigstillelse,  f_tid_x_f_tek_d_0_01)))</f>
        <v>0</v>
      </c>
      <c r="AE48" s="333" cm="1">
        <f t="array" ref="AE48">IF(('Tillegg- Inndata GoF'!G46) = 0, 0,-0.8*('Tillegg- Inndata GoF'!G46)*AH48*('Tillegg- Inndata GoF'!E46/'Tillegg- Inndata GoF'!G46)*_xlfn.XLOOKUP(51, År_etter_ferdigstillelse,  IF(LEFT('Tillegg- Inndata GoF'!B46, 2)= 49, f_tid_x_f_tek_d_0_037, f_tid_x_f_tek_d_0_01)))</f>
        <v>0</v>
      </c>
      <c r="AF48" s="338" cm="1">
        <f t="array" ref="AF48">IF(('Tillegg- Inndata GoF'!G46) = 0, 0,-0.1*('Tillegg- Inndata GoF'!G46)*AI48*('Tillegg- Inndata GoF'!E46/'Tillegg- Inndata GoF'!G46)*_xlfn.XLOOKUP(51, År_etter_ferdigstillelse,  IF(LEFT('Tillegg- Inndata GoF'!B46, 2)= 49, f_tid_x_f_tek_d_0_037, f_tid_x_f_tek_d_0_01)))</f>
        <v>0</v>
      </c>
      <c r="AG48" s="572">
        <f>IF(('Tillegg- Inndata GoF'!G46) = 0, 0,'Tillegg- Inndata GoF'!X46*Faktorer!$Z$58)</f>
        <v>0</v>
      </c>
      <c r="AH48" s="573">
        <f>IF(('Tillegg- Inndata GoF'!G46) = 0, 0,'Tillegg- Inndata GoF'!Z46+('Tillegg- Inndata GoF'!X46+'Tillegg- Inndata GoF'!Y46)*(1-Faktorer!$Z$58)*0.5)</f>
        <v>0</v>
      </c>
      <c r="AI48" s="574">
        <f>IF(('Tillegg- Inndata GoF'!G46) = 0, 0,'Tillegg- Inndata GoF'!AA46+('Tillegg- Inndata GoF'!X46+'Tillegg- Inndata GoF'!Y46)*(1-Faktorer!$Z$58)*0.5)</f>
        <v>0</v>
      </c>
      <c r="AK48" s="90">
        <f t="shared" si="1"/>
        <v>0</v>
      </c>
      <c r="AL48" s="91">
        <f>'Tillegg- Res. detaljert GoF'!N48</f>
        <v>0</v>
      </c>
      <c r="AM48" s="91" t="str">
        <f>IF(F48=0,"",('Tillegg- Inndata GoF'!E48+'Tillegg- Inndata GoF'!F48)*ROUNDDOWN('Tillegg- Inndata GoF'!I48,0)*(1+'Tillegg- Inndata GoF'!K48))</f>
        <v/>
      </c>
    </row>
    <row r="49" spans="2:39">
      <c r="B49" s="327">
        <f>'Tillegg- Inndata GoF'!B47</f>
        <v>0</v>
      </c>
      <c r="C49" s="328">
        <f>'Tillegg- Inndata GoF'!C47</f>
        <v>0</v>
      </c>
      <c r="D49" s="329">
        <f>'Tillegg- Inndata GoF'!D47</f>
        <v>0</v>
      </c>
      <c r="E49" s="661" cm="1">
        <f t="array" ref="E49">SUM(IFERROR(F49:AF49,0))</f>
        <v>0</v>
      </c>
      <c r="F49" s="330">
        <f>'Tillegg- Inndata GoF'!E47</f>
        <v>0</v>
      </c>
      <c r="G49" s="330">
        <f>IF('Tillegg- Inndata GoF'!AB47="Ja", -0.8*'Tillegg- Res. detaljert GoF'!$F49, 0)</f>
        <v>0</v>
      </c>
      <c r="H49" s="330">
        <f>IF('Tillegg- Inndata GoF'!AC47="Ja", -0.4*'Tillegg- Res. detaljert GoF'!$F49, 0)</f>
        <v>0</v>
      </c>
      <c r="I49" s="330">
        <f>IF('Tillegg- Inndata GoF'!AD47="Ja", -1*'Tillegg- Res. detaljert GoF'!$F49, 0)</f>
        <v>0</v>
      </c>
      <c r="J49" s="330">
        <f>'Tillegg- Inndata GoF'!O47*'Tillegg- Inndata GoF'!P47</f>
        <v>0</v>
      </c>
      <c r="K49" s="330">
        <f>MAX(-0.75*(SUM('Tillegg- Res. detaljert GoF'!F49:J49)),-'Tillegg- Inndata GoF'!O47*'Tillegg- Inndata GoF'!Q47)</f>
        <v>0</v>
      </c>
      <c r="L49" s="330">
        <f>'Tillegg- Inndata GoF'!S47*'Tillegg- Inndata GoF'!T47</f>
        <v>0</v>
      </c>
      <c r="M49" s="330">
        <f>MAX(-0.75*(SUM('Tillegg- Res. detaljert GoF'!F49:I49,L49)),-'Tillegg- Inndata GoF'!S47*'Tillegg- Inndata GoF'!U47)</f>
        <v>0</v>
      </c>
      <c r="N49" s="331">
        <f>'Tillegg- Inndata GoF'!F47</f>
        <v>0</v>
      </c>
      <c r="O49" s="330">
        <f>'Tillegg- Inndata GoF'!O47*'Tillegg- Inndata GoF'!R47</f>
        <v>0</v>
      </c>
      <c r="P49" s="332">
        <f>'Tillegg- Inndata GoF'!S47*'Tillegg- Inndata GoF'!V47</f>
        <v>0</v>
      </c>
      <c r="Q49" s="333">
        <f>SUM(F49:J49,L49)*'Tillegg- Inndata GoF'!K47</f>
        <v>0</v>
      </c>
      <c r="R49" s="333">
        <f>(K49+M49)*'Tillegg- Inndata GoF'!K47</f>
        <v>0</v>
      </c>
      <c r="S49" s="333">
        <f>SUM(N49:P49)*'Tillegg- Inndata GoF'!K47</f>
        <v>0</v>
      </c>
      <c r="T49" s="334">
        <f>('Tillegg- Inndata GoF'!G47+'Tillegg- Inndata GoF'!O47+'Tillegg- Inndata GoF'!S47)*'Tillegg- Inndata GoF'!K47*Transport_utslipp_til_avfallshånderting_per_kg</f>
        <v>0</v>
      </c>
      <c r="U49" s="330">
        <f>IF('Tillegg- Inndata GoF'!E47 = 0, 0, 1.833*'Tillegg- Inndata GoF'!X47*'Tillegg- Inndata GoF'!K47*('Tillegg- Inndata GoF'!G47*('Tillegg- Inndata GoF'!L47*0.5+'Tillegg- Inndata GoF'!M47*0.8) + (12/44)*('Tillegg- Inndata GoF'!O47*'Tillegg- Inndata GoF'!Q47+'Tillegg- Inndata GoF'!S47*'Tillegg- Inndata GoF'!U47)))</f>
        <v>0</v>
      </c>
      <c r="V49" s="335">
        <f>IF('Tillegg- Inndata GoF'!G47 = 0, 0,  MAX(-SUM(F49:J49,L49)*'Tillegg- Inndata GoF'!L47, -0.114*IF('Tillegg- Inndata GoF'!H47 &gt; 49, _xlfn.XLOOKUP(49, År_etter_ferdigstillelse, karbon_opptak_faktor), _xlfn.XLOOKUP('Tillegg- Inndata GoF'!H47, År_etter_ferdigstillelse, karbon_opptak_faktor))*'Tillegg- Inndata GoF'!G47*'Tillegg- Inndata GoF'!L47*0.5))</f>
        <v>0</v>
      </c>
      <c r="W49" s="333">
        <f>IF('Tillegg- Inndata GoF'!G47=0,0,IF('Tillegg- Inndata GoF'!H47&gt;49,-0.064*'Tillegg- Inndata GoF'!G47*'Tillegg- Inndata GoF'!N47,-0.037*'Tillegg- Inndata GoF'!J47*'Tillegg- Inndata GoF'!N47))</f>
        <v>0</v>
      </c>
      <c r="X49" s="331" cm="1">
        <f t="array" ref="X49">IF(SUM(F49:J49,L49)=0, 0, SUM(F49:J49,L49)*(1+'Tillegg-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Y49" s="330" cm="1">
        <f t="array" ref="Y49">IF(X49=0, 0, SUM(K49,M49)*(1+'Tillegg-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Z49" s="336" cm="1">
        <f t="array" ref="Z49">IF(X49=0, 0, SUM(N49:P49)*(1+'Tillegg-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AA49" s="336" cm="1">
        <f t="array" ref="AA49">IF(X49=0, 0, ('Tillegg- Inndata GoF'!G47+'Tillegg- Inndata GoF'!O47+'Tillegg- Inndata GoF'!S47)*(1+'Tillegg- Inndata GoF'!K47)*Transport_utslipp_til_avfallshånderting_per_kg*IF('Tillegg- Inndata GoF'!H47&gt;50, 0, _xlfn.XLOOKUP('Tillegg- Inndata GoF'!H47, År_etter_ferdigstillelse, IF(VALUE(LEFT('Tillegg- Inndata GoF'!B47, 2))= 49, f_tid_x_f_tek_d_0_037_kumulativ, f_tid_x_f_tek_d_0_01_kumulativ))))</f>
        <v>0</v>
      </c>
      <c r="AB49" s="334" cm="1">
        <f t="array" ref="AB49">IF(X49=0, 0,1.833*'Tillegg- Inndata GoF'!J47*('Tillegg- Inndata GoF'!X47*_xlfn.XLOOKUP(IF('Tillegg- Inndata GoF'!I47&lt;2,'Tillegg- Inndata GoF'!H47,'Tillegg- Inndata GoF'!H47*2), År_etter_ferdigstillelse, Faktorer!$Z$7:$Z$58))*('Tillegg- Inndata GoF'!L47*0.5+'Tillegg- Inndata GoF'!M47*0.8)*_xlfn.XLOOKUP(IF('Tillegg- Inndata GoF'!I47&lt;2,'Tillegg- Inndata GoF'!H47,'Tillegg- Inndata GoF'!H47*2), År_etter_ferdigstillelse,  IF(LEFT('Tillegg- Inndata GoF'!B47, 2)= 49, f_tid_x_f_tek_d_0_037, f_tid_x_f_tek_d_0_01)))</f>
        <v>0</v>
      </c>
      <c r="AC49" s="335">
        <f>IF(('Tillegg- Inndata GoF'!G47) = 0, 0,(('Tillegg- Inndata GoF'!G47)*((AG49+AI49)*Transport_utslipp_til_avfallshånderting_per_kg)+('Tillegg- Inndata GoF'!Z47*'ZERO-B Beregning'!D149)*IF('ZERO-B Beregning'!F150=0,'ZERO-B Beregning'!D150,'ZERO-B Beregning'!F150))*_xlfn.XLOOKUP(51, År_etter_ferdigstillelse, f_tid_x_f_tek_d_0_01))</f>
        <v>0</v>
      </c>
      <c r="AD49" s="337">
        <f>IF(('Tillegg- Inndata GoF'!G47) = 0, 0,1.833*('Tillegg- Inndata GoF'!G47*('Tillegg- Inndata GoF'!L47*0.5+'Tillegg- Inndata GoF'!M47*0.8)*AG49*_xlfn.XLOOKUP(51, År_etter_ferdigstillelse,  f_tid_x_f_tek_d_0_01)))</f>
        <v>0</v>
      </c>
      <c r="AE49" s="333" cm="1">
        <f t="array" ref="AE49">IF(('Tillegg- Inndata GoF'!G47) = 0, 0,-0.8*('Tillegg- Inndata GoF'!G47)*AH49*('Tillegg- Inndata GoF'!E47/'Tillegg- Inndata GoF'!G47)*_xlfn.XLOOKUP(51, År_etter_ferdigstillelse,  IF(LEFT('Tillegg- Inndata GoF'!B47, 2)= 49, f_tid_x_f_tek_d_0_037, f_tid_x_f_tek_d_0_01)))</f>
        <v>0</v>
      </c>
      <c r="AF49" s="338" cm="1">
        <f t="array" ref="AF49">IF(('Tillegg- Inndata GoF'!G47) = 0, 0,-0.1*('Tillegg- Inndata GoF'!G47)*AI49*('Tillegg- Inndata GoF'!E47/'Tillegg- Inndata GoF'!G47)*_xlfn.XLOOKUP(51, År_etter_ferdigstillelse,  IF(LEFT('Tillegg- Inndata GoF'!B47, 2)= 49, f_tid_x_f_tek_d_0_037, f_tid_x_f_tek_d_0_01)))</f>
        <v>0</v>
      </c>
      <c r="AG49" s="572">
        <f>IF(('Tillegg- Inndata GoF'!G47) = 0, 0,'Tillegg- Inndata GoF'!X47*Faktorer!$Z$58)</f>
        <v>0</v>
      </c>
      <c r="AH49" s="573">
        <f>IF(('Tillegg- Inndata GoF'!G47) = 0, 0,'Tillegg- Inndata GoF'!Z47+('Tillegg- Inndata GoF'!X47+'Tillegg- Inndata GoF'!Y47)*(1-Faktorer!$Z$58)*0.5)</f>
        <v>0</v>
      </c>
      <c r="AI49" s="574">
        <f>IF(('Tillegg- Inndata GoF'!G47) = 0, 0,'Tillegg- Inndata GoF'!AA47+('Tillegg- Inndata GoF'!X47+'Tillegg- Inndata GoF'!Y47)*(1-Faktorer!$Z$58)*0.5)</f>
        <v>0</v>
      </c>
      <c r="AK49" s="90">
        <f t="shared" si="1"/>
        <v>0</v>
      </c>
      <c r="AL49" s="91">
        <f>'Tillegg- Res. detaljert GoF'!N49</f>
        <v>0</v>
      </c>
      <c r="AM49" s="91" t="str">
        <f>IF(F49=0,"",('Tillegg- Inndata GoF'!E49+'Tillegg- Inndata GoF'!F49)*ROUNDDOWN('Tillegg- Inndata GoF'!I49,0)*(1+'Tillegg- Inndata GoF'!K49))</f>
        <v/>
      </c>
    </row>
    <row r="50" spans="2:39">
      <c r="B50" s="327">
        <f>'Tillegg- Inndata GoF'!B48</f>
        <v>0</v>
      </c>
      <c r="C50" s="328">
        <f>'Tillegg- Inndata GoF'!C48</f>
        <v>0</v>
      </c>
      <c r="D50" s="329">
        <f>'Tillegg- Inndata GoF'!D48</f>
        <v>0</v>
      </c>
      <c r="E50" s="661" cm="1">
        <f t="array" ref="E50">SUM(IFERROR(F50:AF50,0))</f>
        <v>0</v>
      </c>
      <c r="F50" s="330">
        <f>'Tillegg- Inndata GoF'!E48</f>
        <v>0</v>
      </c>
      <c r="G50" s="330">
        <f>IF('Tillegg- Inndata GoF'!AB48="Ja", -0.8*'Tillegg- Res. detaljert GoF'!$F50, 0)</f>
        <v>0</v>
      </c>
      <c r="H50" s="330">
        <f>IF('Tillegg- Inndata GoF'!AC48="Ja", -0.4*'Tillegg- Res. detaljert GoF'!$F50, 0)</f>
        <v>0</v>
      </c>
      <c r="I50" s="330">
        <f>IF('Tillegg- Inndata GoF'!AD48="Ja", -1*'Tillegg- Res. detaljert GoF'!$F50, 0)</f>
        <v>0</v>
      </c>
      <c r="J50" s="330">
        <f>'Tillegg- Inndata GoF'!O48*'Tillegg- Inndata GoF'!P48</f>
        <v>0</v>
      </c>
      <c r="K50" s="330">
        <f>MAX(-0.75*(SUM('Tillegg- Res. detaljert GoF'!F50:J50)),-'Tillegg- Inndata GoF'!O48*'Tillegg- Inndata GoF'!Q48)</f>
        <v>0</v>
      </c>
      <c r="L50" s="330">
        <f>'Tillegg- Inndata GoF'!S48*'Tillegg- Inndata GoF'!T48</f>
        <v>0</v>
      </c>
      <c r="M50" s="330">
        <f>MAX(-0.75*(SUM('Tillegg- Res. detaljert GoF'!F50:I50,L50)),-'Tillegg- Inndata GoF'!S48*'Tillegg- Inndata GoF'!U48)</f>
        <v>0</v>
      </c>
      <c r="N50" s="331">
        <f>'Tillegg- Inndata GoF'!F48</f>
        <v>0</v>
      </c>
      <c r="O50" s="330">
        <f>'Tillegg- Inndata GoF'!O48*'Tillegg- Inndata GoF'!R48</f>
        <v>0</v>
      </c>
      <c r="P50" s="332">
        <f>'Tillegg- Inndata GoF'!S48*'Tillegg- Inndata GoF'!V48</f>
        <v>0</v>
      </c>
      <c r="Q50" s="333">
        <f>SUM(F50:J50,L50)*'Tillegg- Inndata GoF'!K48</f>
        <v>0</v>
      </c>
      <c r="R50" s="333">
        <f>(K50+M50)*'Tillegg- Inndata GoF'!K48</f>
        <v>0</v>
      </c>
      <c r="S50" s="333">
        <f>SUM(N50:P50)*'Tillegg- Inndata GoF'!K48</f>
        <v>0</v>
      </c>
      <c r="T50" s="334">
        <f>('Tillegg- Inndata GoF'!G48+'Tillegg- Inndata GoF'!O48+'Tillegg- Inndata GoF'!S48)*'Tillegg- Inndata GoF'!K48*Transport_utslipp_til_avfallshånderting_per_kg</f>
        <v>0</v>
      </c>
      <c r="U50" s="330">
        <f>IF('Tillegg- Inndata GoF'!E48 = 0, 0, 1.833*'Tillegg- Inndata GoF'!X48*'Tillegg- Inndata GoF'!K48*('Tillegg- Inndata GoF'!G48*('Tillegg- Inndata GoF'!L48*0.5+'Tillegg- Inndata GoF'!M48*0.8) + (12/44)*('Tillegg- Inndata GoF'!O48*'Tillegg- Inndata GoF'!Q48+'Tillegg- Inndata GoF'!S48*'Tillegg- Inndata GoF'!U48)))</f>
        <v>0</v>
      </c>
      <c r="V50" s="335">
        <f>IF('Tillegg- Inndata GoF'!G48 = 0, 0,  MAX(-SUM(F50:J50,L50)*'Tillegg- Inndata GoF'!L48, -0.114*IF('Tillegg- Inndata GoF'!H48 &gt; 49, _xlfn.XLOOKUP(49, År_etter_ferdigstillelse, karbon_opptak_faktor), _xlfn.XLOOKUP('Tillegg- Inndata GoF'!H48, År_etter_ferdigstillelse, karbon_opptak_faktor))*'Tillegg- Inndata GoF'!G48*'Tillegg- Inndata GoF'!L48*0.5))</f>
        <v>0</v>
      </c>
      <c r="W50" s="333">
        <f>IF('Tillegg- Inndata GoF'!G48=0,0,IF('Tillegg- Inndata GoF'!H48&gt;49,-0.064*'Tillegg- Inndata GoF'!G48*'Tillegg- Inndata GoF'!N48,-0.037*'Tillegg- Inndata GoF'!J48*'Tillegg- Inndata GoF'!N48))</f>
        <v>0</v>
      </c>
      <c r="X50" s="331" cm="1">
        <f t="array" ref="X50">IF(SUM(F50:J50,L50)=0, 0, SUM(F50:J50,L50)*(1+'Tillegg-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Y50" s="330" cm="1">
        <f t="array" ref="Y50">IF(X50=0, 0, SUM(K50,M50)*(1+'Tillegg-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Z50" s="336" cm="1">
        <f t="array" ref="Z50">IF(X50=0, 0, SUM(N50:P50)*(1+'Tillegg-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AA50" s="336" cm="1">
        <f t="array" ref="AA50">IF(X50=0, 0, ('Tillegg- Inndata GoF'!G48+'Tillegg- Inndata GoF'!O48+'Tillegg- Inndata GoF'!S48)*(1+'Tillegg- Inndata GoF'!K48)*Transport_utslipp_til_avfallshånderting_per_kg*IF('Tillegg- Inndata GoF'!H48&gt;50, 0, _xlfn.XLOOKUP('Tillegg- Inndata GoF'!H48, År_etter_ferdigstillelse, IF(VALUE(LEFT('Tillegg- Inndata GoF'!B48, 2))= 49, f_tid_x_f_tek_d_0_037_kumulativ, f_tid_x_f_tek_d_0_01_kumulativ))))</f>
        <v>0</v>
      </c>
      <c r="AB50" s="334" cm="1">
        <f t="array" ref="AB50">IF(X50=0, 0,1.833*'Tillegg- Inndata GoF'!J48*('Tillegg- Inndata GoF'!X48*_xlfn.XLOOKUP(IF('Tillegg- Inndata GoF'!I48&lt;2,'Tillegg- Inndata GoF'!H48,'Tillegg- Inndata GoF'!H48*2), År_etter_ferdigstillelse, Faktorer!$Z$7:$Z$58))*('Tillegg- Inndata GoF'!L48*0.5+'Tillegg- Inndata GoF'!M48*0.8)*_xlfn.XLOOKUP(IF('Tillegg- Inndata GoF'!I48&lt;2,'Tillegg- Inndata GoF'!H48,'Tillegg- Inndata GoF'!H48*2), År_etter_ferdigstillelse,  IF(LEFT('Tillegg- Inndata GoF'!B48, 2)= 49, f_tid_x_f_tek_d_0_037, f_tid_x_f_tek_d_0_01)))</f>
        <v>0</v>
      </c>
      <c r="AC50" s="335">
        <f>IF(('Tillegg- Inndata GoF'!G48) = 0, 0,(('Tillegg- Inndata GoF'!G48)*((AG50+AI50)*Transport_utslipp_til_avfallshånderting_per_kg)+('Tillegg- Inndata GoF'!Z48*'ZERO-B Beregning'!D150)*IF('ZERO-B Beregning'!F151=0,'ZERO-B Beregning'!D151,'ZERO-B Beregning'!F151))*_xlfn.XLOOKUP(51, År_etter_ferdigstillelse, f_tid_x_f_tek_d_0_01))</f>
        <v>0</v>
      </c>
      <c r="AD50" s="337">
        <f>IF(('Tillegg- Inndata GoF'!G48) = 0, 0,1.833*('Tillegg- Inndata GoF'!G48*('Tillegg- Inndata GoF'!L48*0.5+'Tillegg- Inndata GoF'!M48*0.8)*AG50*_xlfn.XLOOKUP(51, År_etter_ferdigstillelse,  f_tid_x_f_tek_d_0_01)))</f>
        <v>0</v>
      </c>
      <c r="AE50" s="333" cm="1">
        <f t="array" ref="AE50">IF(('Tillegg- Inndata GoF'!G48) = 0, 0,-0.8*('Tillegg- Inndata GoF'!G48)*AH50*('Tillegg- Inndata GoF'!E48/'Tillegg- Inndata GoF'!G48)*_xlfn.XLOOKUP(51, År_etter_ferdigstillelse,  IF(LEFT('Tillegg- Inndata GoF'!B48, 2)= 49, f_tid_x_f_tek_d_0_037, f_tid_x_f_tek_d_0_01)))</f>
        <v>0</v>
      </c>
      <c r="AF50" s="338" cm="1">
        <f t="array" ref="AF50">IF(('Tillegg- Inndata GoF'!G48) = 0, 0,-0.1*('Tillegg- Inndata GoF'!G48)*AI50*('Tillegg- Inndata GoF'!E48/'Tillegg- Inndata GoF'!G48)*_xlfn.XLOOKUP(51, År_etter_ferdigstillelse,  IF(LEFT('Tillegg- Inndata GoF'!B48, 2)= 49, f_tid_x_f_tek_d_0_037, f_tid_x_f_tek_d_0_01)))</f>
        <v>0</v>
      </c>
      <c r="AG50" s="572">
        <f>IF(('Tillegg- Inndata GoF'!G48) = 0, 0,'Tillegg- Inndata GoF'!X48*Faktorer!$Z$58)</f>
        <v>0</v>
      </c>
      <c r="AH50" s="573">
        <f>IF(('Tillegg- Inndata GoF'!G48) = 0, 0,'Tillegg- Inndata GoF'!Z48+('Tillegg- Inndata GoF'!X48+'Tillegg- Inndata GoF'!Y48)*(1-Faktorer!$Z$58)*0.5)</f>
        <v>0</v>
      </c>
      <c r="AI50" s="574">
        <f>IF(('Tillegg- Inndata GoF'!G48) = 0, 0,'Tillegg- Inndata GoF'!AA48+('Tillegg- Inndata GoF'!X48+'Tillegg- Inndata GoF'!Y48)*(1-Faktorer!$Z$58)*0.5)</f>
        <v>0</v>
      </c>
      <c r="AK50" s="90">
        <f t="shared" si="1"/>
        <v>0</v>
      </c>
      <c r="AL50" s="91">
        <f>'Tillegg- Res. detaljert GoF'!N50</f>
        <v>0</v>
      </c>
      <c r="AM50" s="91" t="str">
        <f>IF(F50=0,"",('Tillegg- Inndata GoF'!E50+'Tillegg- Inndata GoF'!F50)*ROUNDDOWN('Tillegg- Inndata GoF'!I50,0)*(1+'Tillegg- Inndata GoF'!K50))</f>
        <v/>
      </c>
    </row>
    <row r="51" spans="2:39">
      <c r="B51" s="327">
        <f>'Tillegg- Inndata GoF'!B49</f>
        <v>0</v>
      </c>
      <c r="C51" s="328">
        <f>'Tillegg- Inndata GoF'!C49</f>
        <v>0</v>
      </c>
      <c r="D51" s="329">
        <f>'Tillegg- Inndata GoF'!D49</f>
        <v>0</v>
      </c>
      <c r="E51" s="661" cm="1">
        <f t="array" ref="E51">SUM(IFERROR(F51:AF51,0))</f>
        <v>0</v>
      </c>
      <c r="F51" s="330">
        <f>'Tillegg- Inndata GoF'!E49</f>
        <v>0</v>
      </c>
      <c r="G51" s="330">
        <f>IF('Tillegg- Inndata GoF'!AB49="Ja", -0.8*'Tillegg- Res. detaljert GoF'!$F51, 0)</f>
        <v>0</v>
      </c>
      <c r="H51" s="330">
        <f>IF('Tillegg- Inndata GoF'!AC49="Ja", -0.4*'Tillegg- Res. detaljert GoF'!$F51, 0)</f>
        <v>0</v>
      </c>
      <c r="I51" s="330">
        <f>IF('Tillegg- Inndata GoF'!AD49="Ja", -1*'Tillegg- Res. detaljert GoF'!$F51, 0)</f>
        <v>0</v>
      </c>
      <c r="J51" s="330">
        <f>'Tillegg- Inndata GoF'!O49*'Tillegg- Inndata GoF'!P49</f>
        <v>0</v>
      </c>
      <c r="K51" s="330">
        <f>MAX(-0.75*(SUM('Tillegg- Res. detaljert GoF'!F51:J51)),-'Tillegg- Inndata GoF'!O49*'Tillegg- Inndata GoF'!Q49)</f>
        <v>0</v>
      </c>
      <c r="L51" s="330">
        <f>'Tillegg- Inndata GoF'!S49*'Tillegg- Inndata GoF'!T49</f>
        <v>0</v>
      </c>
      <c r="M51" s="330">
        <f>MAX(-0.75*(SUM('Tillegg- Res. detaljert GoF'!F51:I51,L51)),-'Tillegg- Inndata GoF'!S49*'Tillegg- Inndata GoF'!U49)</f>
        <v>0</v>
      </c>
      <c r="N51" s="331">
        <f>'Tillegg- Inndata GoF'!F49</f>
        <v>0</v>
      </c>
      <c r="O51" s="330">
        <f>'Tillegg- Inndata GoF'!O49*'Tillegg- Inndata GoF'!R49</f>
        <v>0</v>
      </c>
      <c r="P51" s="332">
        <f>'Tillegg- Inndata GoF'!S49*'Tillegg- Inndata GoF'!V49</f>
        <v>0</v>
      </c>
      <c r="Q51" s="333">
        <f>SUM(F51:J51,L51)*'Tillegg- Inndata GoF'!K49</f>
        <v>0</v>
      </c>
      <c r="R51" s="333">
        <f>(K51+M51)*'Tillegg- Inndata GoF'!K49</f>
        <v>0</v>
      </c>
      <c r="S51" s="333">
        <f>SUM(N51:P51)*'Tillegg- Inndata GoF'!K49</f>
        <v>0</v>
      </c>
      <c r="T51" s="334">
        <f>('Tillegg- Inndata GoF'!G49+'Tillegg- Inndata GoF'!O49+'Tillegg- Inndata GoF'!S49)*'Tillegg- Inndata GoF'!K49*Transport_utslipp_til_avfallshånderting_per_kg</f>
        <v>0</v>
      </c>
      <c r="U51" s="330">
        <f>IF('Tillegg- Inndata GoF'!E49 = 0, 0, 1.833*'Tillegg- Inndata GoF'!X49*'Tillegg- Inndata GoF'!K49*('Tillegg- Inndata GoF'!G49*('Tillegg- Inndata GoF'!L49*0.5+'Tillegg- Inndata GoF'!M49*0.8) + (12/44)*('Tillegg- Inndata GoF'!O49*'Tillegg- Inndata GoF'!Q49+'Tillegg- Inndata GoF'!S49*'Tillegg- Inndata GoF'!U49)))</f>
        <v>0</v>
      </c>
      <c r="V51" s="335">
        <f>IF('Tillegg- Inndata GoF'!G49 = 0, 0,  MAX(-SUM(F51:J51,L51)*'Tillegg- Inndata GoF'!L49, -0.114*IF('Tillegg- Inndata GoF'!H49 &gt; 49, _xlfn.XLOOKUP(49, År_etter_ferdigstillelse, karbon_opptak_faktor), _xlfn.XLOOKUP('Tillegg- Inndata GoF'!H49, År_etter_ferdigstillelse, karbon_opptak_faktor))*'Tillegg- Inndata GoF'!G49*'Tillegg- Inndata GoF'!L49*0.5))</f>
        <v>0</v>
      </c>
      <c r="W51" s="333">
        <f>IF('Tillegg- Inndata GoF'!G49=0,0,IF('Tillegg- Inndata GoF'!H49&gt;49,-0.064*'Tillegg- Inndata GoF'!G49*'Tillegg- Inndata GoF'!N49,-0.037*'Tillegg- Inndata GoF'!J49*'Tillegg- Inndata GoF'!N49))</f>
        <v>0</v>
      </c>
      <c r="X51" s="331" cm="1">
        <f t="array" ref="X51">IF(SUM(F51:J51,L51)=0, 0, SUM(F51:J51,L51)*(1+'Tillegg-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Y51" s="330" cm="1">
        <f t="array" ref="Y51">IF(X51=0, 0, SUM(K51,M51)*(1+'Tillegg-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Z51" s="336" cm="1">
        <f t="array" ref="Z51">IF(X51=0, 0, SUM(N51:P51)*(1+'Tillegg-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AA51" s="336" cm="1">
        <f t="array" ref="AA51">IF(X51=0, 0, ('Tillegg- Inndata GoF'!G49+'Tillegg- Inndata GoF'!O49+'Tillegg- Inndata GoF'!S49)*(1+'Tillegg- Inndata GoF'!K49)*Transport_utslipp_til_avfallshånderting_per_kg*IF('Tillegg- Inndata GoF'!H49&gt;50, 0, _xlfn.XLOOKUP('Tillegg- Inndata GoF'!H49, År_etter_ferdigstillelse, IF(VALUE(LEFT('Tillegg- Inndata GoF'!B49, 2))= 49, f_tid_x_f_tek_d_0_037_kumulativ, f_tid_x_f_tek_d_0_01_kumulativ))))</f>
        <v>0</v>
      </c>
      <c r="AB51" s="334" cm="1">
        <f t="array" ref="AB51">IF(X51=0, 0,1.833*'Tillegg- Inndata GoF'!J49*('Tillegg- Inndata GoF'!X49*_xlfn.XLOOKUP(IF('Tillegg- Inndata GoF'!I49&lt;2,'Tillegg- Inndata GoF'!H49,'Tillegg- Inndata GoF'!H49*2), År_etter_ferdigstillelse, Faktorer!$Z$7:$Z$58))*('Tillegg- Inndata GoF'!L49*0.5+'Tillegg- Inndata GoF'!M49*0.8)*_xlfn.XLOOKUP(IF('Tillegg- Inndata GoF'!I49&lt;2,'Tillegg- Inndata GoF'!H49,'Tillegg- Inndata GoF'!H49*2), År_etter_ferdigstillelse,  IF(LEFT('Tillegg- Inndata GoF'!B49, 2)= 49, f_tid_x_f_tek_d_0_037, f_tid_x_f_tek_d_0_01)))</f>
        <v>0</v>
      </c>
      <c r="AC51" s="335">
        <f>IF(('Tillegg- Inndata GoF'!G49) = 0, 0,(('Tillegg- Inndata GoF'!G49)*((AG51+AI51)*Transport_utslipp_til_avfallshånderting_per_kg)+('Tillegg- Inndata GoF'!Z49*'ZERO-B Beregning'!D151)*IF('ZERO-B Beregning'!F152=0,'ZERO-B Beregning'!D152,'ZERO-B Beregning'!F152))*_xlfn.XLOOKUP(51, År_etter_ferdigstillelse, f_tid_x_f_tek_d_0_01))</f>
        <v>0</v>
      </c>
      <c r="AD51" s="337">
        <f>IF(('Tillegg- Inndata GoF'!G49) = 0, 0,1.833*('Tillegg- Inndata GoF'!G49*('Tillegg- Inndata GoF'!L49*0.5+'Tillegg- Inndata GoF'!M49*0.8)*AG51*_xlfn.XLOOKUP(51, År_etter_ferdigstillelse,  f_tid_x_f_tek_d_0_01)))</f>
        <v>0</v>
      </c>
      <c r="AE51" s="333" cm="1">
        <f t="array" ref="AE51">IF(('Tillegg- Inndata GoF'!G49) = 0, 0,-0.8*('Tillegg- Inndata GoF'!G49)*AH51*('Tillegg- Inndata GoF'!E49/'Tillegg- Inndata GoF'!G49)*_xlfn.XLOOKUP(51, År_etter_ferdigstillelse,  IF(LEFT('Tillegg- Inndata GoF'!B49, 2)= 49, f_tid_x_f_tek_d_0_037, f_tid_x_f_tek_d_0_01)))</f>
        <v>0</v>
      </c>
      <c r="AF51" s="338" cm="1">
        <f t="array" ref="AF51">IF(('Tillegg- Inndata GoF'!G49) = 0, 0,-0.1*('Tillegg- Inndata GoF'!G49)*AI51*('Tillegg- Inndata GoF'!E49/'Tillegg- Inndata GoF'!G49)*_xlfn.XLOOKUP(51, År_etter_ferdigstillelse,  IF(LEFT('Tillegg- Inndata GoF'!B49, 2)= 49, f_tid_x_f_tek_d_0_037, f_tid_x_f_tek_d_0_01)))</f>
        <v>0</v>
      </c>
      <c r="AG51" s="572">
        <f>IF(('Tillegg- Inndata GoF'!G49) = 0, 0,'Tillegg- Inndata GoF'!X49*Faktorer!$Z$58)</f>
        <v>0</v>
      </c>
      <c r="AH51" s="573">
        <f>IF(('Tillegg- Inndata GoF'!G49) = 0, 0,'Tillegg- Inndata GoF'!Z49+('Tillegg- Inndata GoF'!X49+'Tillegg- Inndata GoF'!Y49)*(1-Faktorer!$Z$58)*0.5)</f>
        <v>0</v>
      </c>
      <c r="AI51" s="574">
        <f>IF(('Tillegg- Inndata GoF'!G49) = 0, 0,'Tillegg- Inndata GoF'!AA49+('Tillegg- Inndata GoF'!X49+'Tillegg- Inndata GoF'!Y49)*(1-Faktorer!$Z$58)*0.5)</f>
        <v>0</v>
      </c>
      <c r="AK51" s="90">
        <f t="shared" si="1"/>
        <v>0</v>
      </c>
      <c r="AL51" s="91">
        <f>'Tillegg- Res. detaljert GoF'!N51</f>
        <v>0</v>
      </c>
      <c r="AM51" s="91" t="str">
        <f>IF(F51=0,"",('Tillegg- Inndata GoF'!E51+'Tillegg- Inndata GoF'!F51)*ROUNDDOWN('Tillegg- Inndata GoF'!I51,0)*(1+'Tillegg- Inndata GoF'!K51))</f>
        <v/>
      </c>
    </row>
    <row r="52" spans="2:39">
      <c r="B52" s="327">
        <f>'Tillegg- Inndata GoF'!B50</f>
        <v>0</v>
      </c>
      <c r="C52" s="328">
        <f>'Tillegg- Inndata GoF'!C50</f>
        <v>0</v>
      </c>
      <c r="D52" s="329">
        <f>'Tillegg- Inndata GoF'!D50</f>
        <v>0</v>
      </c>
      <c r="E52" s="661" cm="1">
        <f t="array" ref="E52">SUM(IFERROR(F52:AF52,0))</f>
        <v>0</v>
      </c>
      <c r="F52" s="330">
        <f>'Tillegg- Inndata GoF'!E50</f>
        <v>0</v>
      </c>
      <c r="G52" s="330">
        <f>IF('Tillegg- Inndata GoF'!AB50="Ja", -0.8*'Tillegg- Res. detaljert GoF'!$F52, 0)</f>
        <v>0</v>
      </c>
      <c r="H52" s="330">
        <f>IF('Tillegg- Inndata GoF'!AC50="Ja", -0.4*'Tillegg- Res. detaljert GoF'!$F52, 0)</f>
        <v>0</v>
      </c>
      <c r="I52" s="330">
        <f>IF('Tillegg- Inndata GoF'!AD50="Ja", -1*'Tillegg- Res. detaljert GoF'!$F52, 0)</f>
        <v>0</v>
      </c>
      <c r="J52" s="330">
        <f>'Tillegg- Inndata GoF'!O50*'Tillegg- Inndata GoF'!P50</f>
        <v>0</v>
      </c>
      <c r="K52" s="330">
        <f>MAX(-0.75*(SUM('Tillegg- Res. detaljert GoF'!F52:J52)),-'Tillegg- Inndata GoF'!O50*'Tillegg- Inndata GoF'!Q50)</f>
        <v>0</v>
      </c>
      <c r="L52" s="330">
        <f>'Tillegg- Inndata GoF'!S50*'Tillegg- Inndata GoF'!T50</f>
        <v>0</v>
      </c>
      <c r="M52" s="330">
        <f>MAX(-0.75*(SUM('Tillegg- Res. detaljert GoF'!F52:I52,L52)),-'Tillegg- Inndata GoF'!S50*'Tillegg- Inndata GoF'!U50)</f>
        <v>0</v>
      </c>
      <c r="N52" s="331">
        <f>'Tillegg- Inndata GoF'!F50</f>
        <v>0</v>
      </c>
      <c r="O52" s="330">
        <f>'Tillegg- Inndata GoF'!O50*'Tillegg- Inndata GoF'!R50</f>
        <v>0</v>
      </c>
      <c r="P52" s="332">
        <f>'Tillegg- Inndata GoF'!S50*'Tillegg- Inndata GoF'!V50</f>
        <v>0</v>
      </c>
      <c r="Q52" s="333">
        <f>SUM(F52:J52,L52)*'Tillegg- Inndata GoF'!K50</f>
        <v>0</v>
      </c>
      <c r="R52" s="333">
        <f>(K52+M52)*'Tillegg- Inndata GoF'!K50</f>
        <v>0</v>
      </c>
      <c r="S52" s="333">
        <f>SUM(N52:P52)*'Tillegg- Inndata GoF'!K50</f>
        <v>0</v>
      </c>
      <c r="T52" s="334">
        <f>('Tillegg- Inndata GoF'!G50+'Tillegg- Inndata GoF'!O50+'Tillegg- Inndata GoF'!S50)*'Tillegg- Inndata GoF'!K50*Transport_utslipp_til_avfallshånderting_per_kg</f>
        <v>0</v>
      </c>
      <c r="U52" s="330">
        <f>IF('Tillegg- Inndata GoF'!E50 = 0, 0, 1.833*'Tillegg- Inndata GoF'!X50*'Tillegg- Inndata GoF'!K50*('Tillegg- Inndata GoF'!G50*('Tillegg- Inndata GoF'!L50*0.5+'Tillegg- Inndata GoF'!M50*0.8) + (12/44)*('Tillegg- Inndata GoF'!O50*'Tillegg- Inndata GoF'!Q50+'Tillegg- Inndata GoF'!S50*'Tillegg- Inndata GoF'!U50)))</f>
        <v>0</v>
      </c>
      <c r="V52" s="335">
        <f>IF('Tillegg- Inndata GoF'!G50 = 0, 0,  MAX(-SUM(F52:J52,L52)*'Tillegg- Inndata GoF'!L50, -0.114*IF('Tillegg- Inndata GoF'!H50 &gt; 49, _xlfn.XLOOKUP(49, År_etter_ferdigstillelse, karbon_opptak_faktor), _xlfn.XLOOKUP('Tillegg- Inndata GoF'!H50, År_etter_ferdigstillelse, karbon_opptak_faktor))*'Tillegg- Inndata GoF'!G50*'Tillegg- Inndata GoF'!L50*0.5))</f>
        <v>0</v>
      </c>
      <c r="W52" s="333">
        <f>IF('Tillegg- Inndata GoF'!G50=0,0,IF('Tillegg- Inndata GoF'!H50&gt;49,-0.064*'Tillegg- Inndata GoF'!G50*'Tillegg- Inndata GoF'!N50,-0.037*'Tillegg- Inndata GoF'!J50*'Tillegg- Inndata GoF'!N50))</f>
        <v>0</v>
      </c>
      <c r="X52" s="331" cm="1">
        <f t="array" ref="X52">IF(SUM(F52:J52,L52)=0, 0, SUM(F52:J52,L52)*(1+'Tillegg-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Y52" s="330" cm="1">
        <f t="array" ref="Y52">IF(X52=0, 0, SUM(K52,M52)*(1+'Tillegg-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Z52" s="336" cm="1">
        <f t="array" ref="Z52">IF(X52=0, 0, SUM(N52:P52)*(1+'Tillegg-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AA52" s="336" cm="1">
        <f t="array" ref="AA52">IF(X52=0, 0, ('Tillegg- Inndata GoF'!G50+'Tillegg- Inndata GoF'!O50+'Tillegg- Inndata GoF'!S50)*(1+'Tillegg- Inndata GoF'!K50)*Transport_utslipp_til_avfallshånderting_per_kg*IF('Tillegg- Inndata GoF'!H50&gt;50, 0, _xlfn.XLOOKUP('Tillegg- Inndata GoF'!H50, År_etter_ferdigstillelse, IF(VALUE(LEFT('Tillegg- Inndata GoF'!B50, 2))= 49, f_tid_x_f_tek_d_0_037_kumulativ, f_tid_x_f_tek_d_0_01_kumulativ))))</f>
        <v>0</v>
      </c>
      <c r="AB52" s="334" cm="1">
        <f t="array" ref="AB52">IF(X52=0, 0,1.833*'Tillegg- Inndata GoF'!J50*('Tillegg- Inndata GoF'!X50*_xlfn.XLOOKUP(IF('Tillegg- Inndata GoF'!I50&lt;2,'Tillegg- Inndata GoF'!H50,'Tillegg- Inndata GoF'!H50*2), År_etter_ferdigstillelse, Faktorer!$Z$7:$Z$58))*('Tillegg- Inndata GoF'!L50*0.5+'Tillegg- Inndata GoF'!M50*0.8)*_xlfn.XLOOKUP(IF('Tillegg- Inndata GoF'!I50&lt;2,'Tillegg- Inndata GoF'!H50,'Tillegg- Inndata GoF'!H50*2), År_etter_ferdigstillelse,  IF(LEFT('Tillegg- Inndata GoF'!B50, 2)= 49, f_tid_x_f_tek_d_0_037, f_tid_x_f_tek_d_0_01)))</f>
        <v>0</v>
      </c>
      <c r="AC52" s="335">
        <f>IF(('Tillegg- Inndata GoF'!G50) = 0, 0,(('Tillegg- Inndata GoF'!G50)*((AG52+AI52)*Transport_utslipp_til_avfallshånderting_per_kg)+('Tillegg- Inndata GoF'!Z50*'ZERO-B Beregning'!D152)*IF('ZERO-B Beregning'!F153=0,'ZERO-B Beregning'!D153,'ZERO-B Beregning'!F153))*_xlfn.XLOOKUP(51, År_etter_ferdigstillelse, f_tid_x_f_tek_d_0_01))</f>
        <v>0</v>
      </c>
      <c r="AD52" s="337">
        <f>IF(('Tillegg- Inndata GoF'!G50) = 0, 0,1.833*('Tillegg- Inndata GoF'!G50*('Tillegg- Inndata GoF'!L50*0.5+'Tillegg- Inndata GoF'!M50*0.8)*AG52*_xlfn.XLOOKUP(51, År_etter_ferdigstillelse,  f_tid_x_f_tek_d_0_01)))</f>
        <v>0</v>
      </c>
      <c r="AE52" s="333" cm="1">
        <f t="array" ref="AE52">IF(('Tillegg- Inndata GoF'!G50) = 0, 0,-0.8*('Tillegg- Inndata GoF'!G50)*AH52*('Tillegg- Inndata GoF'!E50/'Tillegg- Inndata GoF'!G50)*_xlfn.XLOOKUP(51, År_etter_ferdigstillelse,  IF(LEFT('Tillegg- Inndata GoF'!B50, 2)= 49, f_tid_x_f_tek_d_0_037, f_tid_x_f_tek_d_0_01)))</f>
        <v>0</v>
      </c>
      <c r="AF52" s="338" cm="1">
        <f t="array" ref="AF52">IF(('Tillegg- Inndata GoF'!G50) = 0, 0,-0.1*('Tillegg- Inndata GoF'!G50)*AI52*('Tillegg- Inndata GoF'!E50/'Tillegg- Inndata GoF'!G50)*_xlfn.XLOOKUP(51, År_etter_ferdigstillelse,  IF(LEFT('Tillegg- Inndata GoF'!B50, 2)= 49, f_tid_x_f_tek_d_0_037, f_tid_x_f_tek_d_0_01)))</f>
        <v>0</v>
      </c>
      <c r="AG52" s="572">
        <f>IF(('Tillegg- Inndata GoF'!G50) = 0, 0,'Tillegg- Inndata GoF'!X50*Faktorer!$Z$58)</f>
        <v>0</v>
      </c>
      <c r="AH52" s="573">
        <f>IF(('Tillegg- Inndata GoF'!G50) = 0, 0,'Tillegg- Inndata GoF'!Z50+('Tillegg- Inndata GoF'!X50+'Tillegg- Inndata GoF'!Y50)*(1-Faktorer!$Z$58)*0.5)</f>
        <v>0</v>
      </c>
      <c r="AI52" s="574">
        <f>IF(('Tillegg- Inndata GoF'!G50) = 0, 0,'Tillegg- Inndata GoF'!AA50+('Tillegg- Inndata GoF'!X50+'Tillegg- Inndata GoF'!Y50)*(1-Faktorer!$Z$58)*0.5)</f>
        <v>0</v>
      </c>
      <c r="AK52" s="90">
        <f t="shared" si="1"/>
        <v>0</v>
      </c>
      <c r="AL52" s="91">
        <f>'Tillegg- Res. detaljert GoF'!N52</f>
        <v>0</v>
      </c>
      <c r="AM52" s="91" t="str">
        <f>IF(F52=0,"",('Tillegg- Inndata GoF'!E52+'Tillegg- Inndata GoF'!F52)*ROUNDDOWN('Tillegg- Inndata GoF'!I52,0)*(1+'Tillegg- Inndata GoF'!K52))</f>
        <v/>
      </c>
    </row>
    <row r="53" spans="2:39">
      <c r="B53" s="327">
        <f>'Tillegg- Inndata GoF'!B51</f>
        <v>0</v>
      </c>
      <c r="C53" s="328">
        <f>'Tillegg- Inndata GoF'!C51</f>
        <v>0</v>
      </c>
      <c r="D53" s="329">
        <f>'Tillegg- Inndata GoF'!D51</f>
        <v>0</v>
      </c>
      <c r="E53" s="661" cm="1">
        <f t="array" ref="E53">SUM(IFERROR(F53:AF53,0))</f>
        <v>0</v>
      </c>
      <c r="F53" s="330">
        <f>'Tillegg- Inndata GoF'!E51</f>
        <v>0</v>
      </c>
      <c r="G53" s="330">
        <f>IF('Tillegg- Inndata GoF'!AB51="Ja", -0.8*'Tillegg- Res. detaljert GoF'!$F53, 0)</f>
        <v>0</v>
      </c>
      <c r="H53" s="330">
        <f>IF('Tillegg- Inndata GoF'!AC51="Ja", -0.4*'Tillegg- Res. detaljert GoF'!$F53, 0)</f>
        <v>0</v>
      </c>
      <c r="I53" s="330">
        <f>IF('Tillegg- Inndata GoF'!AD51="Ja", -1*'Tillegg- Res. detaljert GoF'!$F53, 0)</f>
        <v>0</v>
      </c>
      <c r="J53" s="330">
        <f>'Tillegg- Inndata GoF'!O51*'Tillegg- Inndata GoF'!P51</f>
        <v>0</v>
      </c>
      <c r="K53" s="330">
        <f>MAX(-0.75*(SUM('Tillegg- Res. detaljert GoF'!F53:J53)),-'Tillegg- Inndata GoF'!O51*'Tillegg- Inndata GoF'!Q51)</f>
        <v>0</v>
      </c>
      <c r="L53" s="330">
        <f>'Tillegg- Inndata GoF'!S51*'Tillegg- Inndata GoF'!T51</f>
        <v>0</v>
      </c>
      <c r="M53" s="330">
        <f>MAX(-0.75*(SUM('Tillegg- Res. detaljert GoF'!F53:I53,L53)),-'Tillegg- Inndata GoF'!S51*'Tillegg- Inndata GoF'!U51)</f>
        <v>0</v>
      </c>
      <c r="N53" s="331">
        <f>'Tillegg- Inndata GoF'!F51</f>
        <v>0</v>
      </c>
      <c r="O53" s="330">
        <f>'Tillegg- Inndata GoF'!O51*'Tillegg- Inndata GoF'!R51</f>
        <v>0</v>
      </c>
      <c r="P53" s="332">
        <f>'Tillegg- Inndata GoF'!S51*'Tillegg- Inndata GoF'!V51</f>
        <v>0</v>
      </c>
      <c r="Q53" s="333">
        <f>SUM(F53:J53,L53)*'Tillegg- Inndata GoF'!K51</f>
        <v>0</v>
      </c>
      <c r="R53" s="333">
        <f>(K53+M53)*'Tillegg- Inndata GoF'!K51</f>
        <v>0</v>
      </c>
      <c r="S53" s="333">
        <f>SUM(N53:P53)*'Tillegg- Inndata GoF'!K51</f>
        <v>0</v>
      </c>
      <c r="T53" s="334">
        <f>('Tillegg- Inndata GoF'!G51+'Tillegg- Inndata GoF'!O51+'Tillegg- Inndata GoF'!S51)*'Tillegg- Inndata GoF'!K51*Transport_utslipp_til_avfallshånderting_per_kg</f>
        <v>0</v>
      </c>
      <c r="U53" s="330">
        <f>IF('Tillegg- Inndata GoF'!E51 = 0, 0, 1.833*'Tillegg- Inndata GoF'!X51*'Tillegg- Inndata GoF'!K51*('Tillegg- Inndata GoF'!G51*('Tillegg- Inndata GoF'!L51*0.5+'Tillegg- Inndata GoF'!M51*0.8) + (12/44)*('Tillegg- Inndata GoF'!O51*'Tillegg- Inndata GoF'!Q51+'Tillegg- Inndata GoF'!S51*'Tillegg- Inndata GoF'!U51)))</f>
        <v>0</v>
      </c>
      <c r="V53" s="335">
        <f>IF('Tillegg- Inndata GoF'!G51 = 0, 0,  MAX(-SUM(F53:J53,L53)*'Tillegg- Inndata GoF'!L51, -0.114*IF('Tillegg- Inndata GoF'!H51 &gt; 49, _xlfn.XLOOKUP(49, År_etter_ferdigstillelse, karbon_opptak_faktor), _xlfn.XLOOKUP('Tillegg- Inndata GoF'!H51, År_etter_ferdigstillelse, karbon_opptak_faktor))*'Tillegg- Inndata GoF'!G51*'Tillegg- Inndata GoF'!L51*0.5))</f>
        <v>0</v>
      </c>
      <c r="W53" s="333">
        <f>IF('Tillegg- Inndata GoF'!G51=0,0,IF('Tillegg- Inndata GoF'!H51&gt;49,-0.064*'Tillegg- Inndata GoF'!G51*'Tillegg- Inndata GoF'!N51,-0.037*'Tillegg- Inndata GoF'!J51*'Tillegg- Inndata GoF'!N51))</f>
        <v>0</v>
      </c>
      <c r="X53" s="331" cm="1">
        <f t="array" ref="X53">IF(SUM(F53:J53,L53)=0, 0, SUM(F53:J53,L53)*(1+'Tillegg-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Y53" s="330" cm="1">
        <f t="array" ref="Y53">IF(X53=0, 0, SUM(K53,M53)*(1+'Tillegg-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Z53" s="336" cm="1">
        <f t="array" ref="Z53">IF(X53=0, 0, SUM(N53:P53)*(1+'Tillegg-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AA53" s="336" cm="1">
        <f t="array" ref="AA53">IF(X53=0, 0, ('Tillegg- Inndata GoF'!G51+'Tillegg- Inndata GoF'!O51+'Tillegg- Inndata GoF'!S51)*(1+'Tillegg- Inndata GoF'!K51)*Transport_utslipp_til_avfallshånderting_per_kg*IF('Tillegg- Inndata GoF'!H51&gt;50, 0, _xlfn.XLOOKUP('Tillegg- Inndata GoF'!H51, År_etter_ferdigstillelse, IF(VALUE(LEFT('Tillegg- Inndata GoF'!B51, 2))= 49, f_tid_x_f_tek_d_0_037_kumulativ, f_tid_x_f_tek_d_0_01_kumulativ))))</f>
        <v>0</v>
      </c>
      <c r="AB53" s="334" cm="1">
        <f t="array" ref="AB53">IF(X53=0, 0,1.833*'Tillegg- Inndata GoF'!J51*('Tillegg- Inndata GoF'!X51*_xlfn.XLOOKUP(IF('Tillegg- Inndata GoF'!I51&lt;2,'Tillegg- Inndata GoF'!H51,'Tillegg- Inndata GoF'!H51*2), År_etter_ferdigstillelse, Faktorer!$Z$7:$Z$58))*('Tillegg- Inndata GoF'!L51*0.5+'Tillegg- Inndata GoF'!M51*0.8)*_xlfn.XLOOKUP(IF('Tillegg- Inndata GoF'!I51&lt;2,'Tillegg- Inndata GoF'!H51,'Tillegg- Inndata GoF'!H51*2), År_etter_ferdigstillelse,  IF(LEFT('Tillegg- Inndata GoF'!B51, 2)= 49, f_tid_x_f_tek_d_0_037, f_tid_x_f_tek_d_0_01)))</f>
        <v>0</v>
      </c>
      <c r="AC53" s="335">
        <f>IF(('Tillegg- Inndata GoF'!G51) = 0, 0,(('Tillegg- Inndata GoF'!G51)*((AG53+AI53)*Transport_utslipp_til_avfallshånderting_per_kg)+('Tillegg- Inndata GoF'!Z51*'ZERO-B Beregning'!D153)*IF('ZERO-B Beregning'!F154=0,'ZERO-B Beregning'!D154,'ZERO-B Beregning'!F154))*_xlfn.XLOOKUP(51, År_etter_ferdigstillelse, f_tid_x_f_tek_d_0_01))</f>
        <v>0</v>
      </c>
      <c r="AD53" s="337">
        <f>IF(('Tillegg- Inndata GoF'!G51) = 0, 0,1.833*('Tillegg- Inndata GoF'!G51*('Tillegg- Inndata GoF'!L51*0.5+'Tillegg- Inndata GoF'!M51*0.8)*AG53*_xlfn.XLOOKUP(51, År_etter_ferdigstillelse,  f_tid_x_f_tek_d_0_01)))</f>
        <v>0</v>
      </c>
      <c r="AE53" s="333" cm="1">
        <f t="array" ref="AE53">IF(('Tillegg- Inndata GoF'!G51) = 0, 0,-0.8*('Tillegg- Inndata GoF'!G51)*AH53*('Tillegg- Inndata GoF'!E51/'Tillegg- Inndata GoF'!G51)*_xlfn.XLOOKUP(51, År_etter_ferdigstillelse,  IF(LEFT('Tillegg- Inndata GoF'!B51, 2)= 49, f_tid_x_f_tek_d_0_037, f_tid_x_f_tek_d_0_01)))</f>
        <v>0</v>
      </c>
      <c r="AF53" s="338" cm="1">
        <f t="array" ref="AF53">IF(('Tillegg- Inndata GoF'!G51) = 0, 0,-0.1*('Tillegg- Inndata GoF'!G51)*AI53*('Tillegg- Inndata GoF'!E51/'Tillegg- Inndata GoF'!G51)*_xlfn.XLOOKUP(51, År_etter_ferdigstillelse,  IF(LEFT('Tillegg- Inndata GoF'!B51, 2)= 49, f_tid_x_f_tek_d_0_037, f_tid_x_f_tek_d_0_01)))</f>
        <v>0</v>
      </c>
      <c r="AG53" s="572">
        <f>IF(('Tillegg- Inndata GoF'!G51) = 0, 0,'Tillegg- Inndata GoF'!X51*Faktorer!$Z$58)</f>
        <v>0</v>
      </c>
      <c r="AH53" s="573">
        <f>IF(('Tillegg- Inndata GoF'!G51) = 0, 0,'Tillegg- Inndata GoF'!Z51+('Tillegg- Inndata GoF'!X51+'Tillegg- Inndata GoF'!Y51)*(1-Faktorer!$Z$58)*0.5)</f>
        <v>0</v>
      </c>
      <c r="AI53" s="574">
        <f>IF(('Tillegg- Inndata GoF'!G51) = 0, 0,'Tillegg- Inndata GoF'!AA51+('Tillegg- Inndata GoF'!X51+'Tillegg- Inndata GoF'!Y51)*(1-Faktorer!$Z$58)*0.5)</f>
        <v>0</v>
      </c>
      <c r="AK53" s="90">
        <f t="shared" si="1"/>
        <v>0</v>
      </c>
      <c r="AL53" s="91">
        <f>'Tillegg- Res. detaljert GoF'!N53</f>
        <v>0</v>
      </c>
      <c r="AM53" s="91" t="str">
        <f>IF(F53=0,"",('Tillegg- Inndata GoF'!E53+'Tillegg- Inndata GoF'!F53)*ROUNDDOWN('Tillegg- Inndata GoF'!I53,0)*(1+'Tillegg- Inndata GoF'!K53))</f>
        <v/>
      </c>
    </row>
    <row r="54" spans="2:39">
      <c r="B54" s="327">
        <f>'Tillegg- Inndata GoF'!B52</f>
        <v>0</v>
      </c>
      <c r="C54" s="328">
        <f>'Tillegg- Inndata GoF'!C52</f>
        <v>0</v>
      </c>
      <c r="D54" s="329">
        <f>'Tillegg- Inndata GoF'!D52</f>
        <v>0</v>
      </c>
      <c r="E54" s="661" cm="1">
        <f t="array" ref="E54">SUM(IFERROR(F54:AF54,0))</f>
        <v>0</v>
      </c>
      <c r="F54" s="330">
        <f>'Tillegg- Inndata GoF'!E52</f>
        <v>0</v>
      </c>
      <c r="G54" s="330">
        <f>IF('Tillegg- Inndata GoF'!AB52="Ja", -0.8*'Tillegg- Res. detaljert GoF'!$F54, 0)</f>
        <v>0</v>
      </c>
      <c r="H54" s="330">
        <f>IF('Tillegg- Inndata GoF'!AC52="Ja", -0.4*'Tillegg- Res. detaljert GoF'!$F54, 0)</f>
        <v>0</v>
      </c>
      <c r="I54" s="330">
        <f>IF('Tillegg- Inndata GoF'!AD52="Ja", -1*'Tillegg- Res. detaljert GoF'!$F54, 0)</f>
        <v>0</v>
      </c>
      <c r="J54" s="330">
        <f>'Tillegg- Inndata GoF'!O52*'Tillegg- Inndata GoF'!P52</f>
        <v>0</v>
      </c>
      <c r="K54" s="330">
        <f>MAX(-0.75*(SUM('Tillegg- Res. detaljert GoF'!F54:J54)),-'Tillegg- Inndata GoF'!O52*'Tillegg- Inndata GoF'!Q52)</f>
        <v>0</v>
      </c>
      <c r="L54" s="330">
        <f>'Tillegg- Inndata GoF'!S52*'Tillegg- Inndata GoF'!T52</f>
        <v>0</v>
      </c>
      <c r="M54" s="330">
        <f>MAX(-0.75*(SUM('Tillegg- Res. detaljert GoF'!F54:I54,L54)),-'Tillegg- Inndata GoF'!S52*'Tillegg- Inndata GoF'!U52)</f>
        <v>0</v>
      </c>
      <c r="N54" s="331">
        <f>'Tillegg- Inndata GoF'!F52</f>
        <v>0</v>
      </c>
      <c r="O54" s="330">
        <f>'Tillegg- Inndata GoF'!O52*'Tillegg- Inndata GoF'!R52</f>
        <v>0</v>
      </c>
      <c r="P54" s="332">
        <f>'Tillegg- Inndata GoF'!S52*'Tillegg- Inndata GoF'!V52</f>
        <v>0</v>
      </c>
      <c r="Q54" s="333">
        <f>SUM(F54:J54,L54)*'Tillegg- Inndata GoF'!K52</f>
        <v>0</v>
      </c>
      <c r="R54" s="333">
        <f>(K54+M54)*'Tillegg- Inndata GoF'!K52</f>
        <v>0</v>
      </c>
      <c r="S54" s="333">
        <f>SUM(N54:P54)*'Tillegg- Inndata GoF'!K52</f>
        <v>0</v>
      </c>
      <c r="T54" s="334">
        <f>('Tillegg- Inndata GoF'!G52+'Tillegg- Inndata GoF'!O52+'Tillegg- Inndata GoF'!S52)*'Tillegg- Inndata GoF'!K52*Transport_utslipp_til_avfallshånderting_per_kg</f>
        <v>0</v>
      </c>
      <c r="U54" s="330">
        <f>IF('Tillegg- Inndata GoF'!E52 = 0, 0, 1.833*'Tillegg- Inndata GoF'!X52*'Tillegg- Inndata GoF'!K52*('Tillegg- Inndata GoF'!G52*('Tillegg- Inndata GoF'!L52*0.5+'Tillegg- Inndata GoF'!M52*0.8) + (12/44)*('Tillegg- Inndata GoF'!O52*'Tillegg- Inndata GoF'!Q52+'Tillegg- Inndata GoF'!S52*'Tillegg- Inndata GoF'!U52)))</f>
        <v>0</v>
      </c>
      <c r="V54" s="335">
        <f>IF('Tillegg- Inndata GoF'!G52 = 0, 0,  MAX(-SUM(F54:J54,L54)*'Tillegg- Inndata GoF'!L52, -0.114*IF('Tillegg- Inndata GoF'!H52 &gt; 49, _xlfn.XLOOKUP(49, År_etter_ferdigstillelse, karbon_opptak_faktor), _xlfn.XLOOKUP('Tillegg- Inndata GoF'!H52, År_etter_ferdigstillelse, karbon_opptak_faktor))*'Tillegg- Inndata GoF'!G52*'Tillegg- Inndata GoF'!L52*0.5))</f>
        <v>0</v>
      </c>
      <c r="W54" s="333">
        <f>IF('Tillegg- Inndata GoF'!G52=0,0,IF('Tillegg- Inndata GoF'!H52&gt;49,-0.064*'Tillegg- Inndata GoF'!G52*'Tillegg- Inndata GoF'!N52,-0.037*'Tillegg- Inndata GoF'!J52*'Tillegg- Inndata GoF'!N52))</f>
        <v>0</v>
      </c>
      <c r="X54" s="331" cm="1">
        <f t="array" ref="X54">IF(SUM(F54:J54,L54)=0, 0, SUM(F54:J54,L54)*(1+'Tillegg-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Y54" s="330" cm="1">
        <f t="array" ref="Y54">IF(X54=0, 0, SUM(K54,M54)*(1+'Tillegg-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Z54" s="336" cm="1">
        <f t="array" ref="Z54">IF(X54=0, 0, SUM(N54:P54)*(1+'Tillegg-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AA54" s="336" cm="1">
        <f t="array" ref="AA54">IF(X54=0, 0, ('Tillegg- Inndata GoF'!G52+'Tillegg- Inndata GoF'!O52+'Tillegg- Inndata GoF'!S52)*(1+'Tillegg- Inndata GoF'!K52)*Transport_utslipp_til_avfallshånderting_per_kg*IF('Tillegg- Inndata GoF'!H52&gt;50, 0, _xlfn.XLOOKUP('Tillegg- Inndata GoF'!H52, År_etter_ferdigstillelse, IF(VALUE(LEFT('Tillegg- Inndata GoF'!B52, 2))= 49, f_tid_x_f_tek_d_0_037_kumulativ, f_tid_x_f_tek_d_0_01_kumulativ))))</f>
        <v>0</v>
      </c>
      <c r="AB54" s="334" cm="1">
        <f t="array" ref="AB54">IF(X54=0, 0,1.833*'Tillegg- Inndata GoF'!J52*('Tillegg- Inndata GoF'!X52*_xlfn.XLOOKUP(IF('Tillegg- Inndata GoF'!I52&lt;2,'Tillegg- Inndata GoF'!H52,'Tillegg- Inndata GoF'!H52*2), År_etter_ferdigstillelse, Faktorer!$Z$7:$Z$58))*('Tillegg- Inndata GoF'!L52*0.5+'Tillegg- Inndata GoF'!M52*0.8)*_xlfn.XLOOKUP(IF('Tillegg- Inndata GoF'!I52&lt;2,'Tillegg- Inndata GoF'!H52,'Tillegg- Inndata GoF'!H52*2), År_etter_ferdigstillelse,  IF(LEFT('Tillegg- Inndata GoF'!B52, 2)= 49, f_tid_x_f_tek_d_0_037, f_tid_x_f_tek_d_0_01)))</f>
        <v>0</v>
      </c>
      <c r="AC54" s="335">
        <f>IF(('Tillegg- Inndata GoF'!G52) = 0, 0,(('Tillegg- Inndata GoF'!G52)*((AG54+AI54)*Transport_utslipp_til_avfallshånderting_per_kg)+('Tillegg- Inndata GoF'!Z52*'ZERO-B Beregning'!D154)*IF('ZERO-B Beregning'!F155=0,'ZERO-B Beregning'!D155,'ZERO-B Beregning'!F155))*_xlfn.XLOOKUP(51, År_etter_ferdigstillelse, f_tid_x_f_tek_d_0_01))</f>
        <v>0</v>
      </c>
      <c r="AD54" s="337">
        <f>IF(('Tillegg- Inndata GoF'!G52) = 0, 0,1.833*('Tillegg- Inndata GoF'!G52*('Tillegg- Inndata GoF'!L52*0.5+'Tillegg- Inndata GoF'!M52*0.8)*AG54*_xlfn.XLOOKUP(51, År_etter_ferdigstillelse,  f_tid_x_f_tek_d_0_01)))</f>
        <v>0</v>
      </c>
      <c r="AE54" s="333" cm="1">
        <f t="array" ref="AE54">IF(('Tillegg- Inndata GoF'!G52) = 0, 0,-0.8*('Tillegg- Inndata GoF'!G52)*AH54*('Tillegg- Inndata GoF'!E52/'Tillegg- Inndata GoF'!G52)*_xlfn.XLOOKUP(51, År_etter_ferdigstillelse,  IF(LEFT('Tillegg- Inndata GoF'!B52, 2)= 49, f_tid_x_f_tek_d_0_037, f_tid_x_f_tek_d_0_01)))</f>
        <v>0</v>
      </c>
      <c r="AF54" s="338" cm="1">
        <f t="array" ref="AF54">IF(('Tillegg- Inndata GoF'!G52) = 0, 0,-0.1*('Tillegg- Inndata GoF'!G52)*AI54*('Tillegg- Inndata GoF'!E52/'Tillegg- Inndata GoF'!G52)*_xlfn.XLOOKUP(51, År_etter_ferdigstillelse,  IF(LEFT('Tillegg- Inndata GoF'!B52, 2)= 49, f_tid_x_f_tek_d_0_037, f_tid_x_f_tek_d_0_01)))</f>
        <v>0</v>
      </c>
      <c r="AG54" s="572">
        <f>IF(('Tillegg- Inndata GoF'!G52) = 0, 0,'Tillegg- Inndata GoF'!X52*Faktorer!$Z$58)</f>
        <v>0</v>
      </c>
      <c r="AH54" s="573">
        <f>IF(('Tillegg- Inndata GoF'!G52) = 0, 0,'Tillegg- Inndata GoF'!Z52+('Tillegg- Inndata GoF'!X52+'Tillegg- Inndata GoF'!Y52)*(1-Faktorer!$Z$58)*0.5)</f>
        <v>0</v>
      </c>
      <c r="AI54" s="574">
        <f>IF(('Tillegg- Inndata GoF'!G52) = 0, 0,'Tillegg- Inndata GoF'!AA52+('Tillegg- Inndata GoF'!X52+'Tillegg- Inndata GoF'!Y52)*(1-Faktorer!$Z$58)*0.5)</f>
        <v>0</v>
      </c>
      <c r="AK54" s="90">
        <f t="shared" si="1"/>
        <v>0</v>
      </c>
      <c r="AL54" s="91">
        <f>'Tillegg- Res. detaljert GoF'!N54</f>
        <v>0</v>
      </c>
      <c r="AM54" s="91" t="str">
        <f>IF(F54=0,"",('Tillegg- Inndata GoF'!E54+'Tillegg- Inndata GoF'!F54)*ROUNDDOWN('Tillegg- Inndata GoF'!I54,0)*(1+'Tillegg- Inndata GoF'!K54))</f>
        <v/>
      </c>
    </row>
    <row r="55" spans="2:39">
      <c r="B55" s="327">
        <f>'Tillegg- Inndata GoF'!B53</f>
        <v>0</v>
      </c>
      <c r="C55" s="328">
        <f>'Tillegg- Inndata GoF'!C53</f>
        <v>0</v>
      </c>
      <c r="D55" s="329">
        <f>'Tillegg- Inndata GoF'!D53</f>
        <v>0</v>
      </c>
      <c r="E55" s="661" cm="1">
        <f t="array" ref="E55">SUM(IFERROR(F55:AF55,0))</f>
        <v>0</v>
      </c>
      <c r="F55" s="330">
        <f>'Tillegg- Inndata GoF'!E53</f>
        <v>0</v>
      </c>
      <c r="G55" s="330">
        <f>IF('Tillegg- Inndata GoF'!AB53="Ja", -0.8*'Tillegg- Res. detaljert GoF'!$F55, 0)</f>
        <v>0</v>
      </c>
      <c r="H55" s="330">
        <f>IF('Tillegg- Inndata GoF'!AC53="Ja", -0.4*'Tillegg- Res. detaljert GoF'!$F55, 0)</f>
        <v>0</v>
      </c>
      <c r="I55" s="330">
        <f>IF('Tillegg- Inndata GoF'!AD53="Ja", -1*'Tillegg- Res. detaljert GoF'!$F55, 0)</f>
        <v>0</v>
      </c>
      <c r="J55" s="330">
        <f>'Tillegg- Inndata GoF'!O53*'Tillegg- Inndata GoF'!P53</f>
        <v>0</v>
      </c>
      <c r="K55" s="330">
        <f>MAX(-0.75*(SUM('Tillegg- Res. detaljert GoF'!F55:J55)),-'Tillegg- Inndata GoF'!O53*'Tillegg- Inndata GoF'!Q53)</f>
        <v>0</v>
      </c>
      <c r="L55" s="330">
        <f>'Tillegg- Inndata GoF'!S53*'Tillegg- Inndata GoF'!T53</f>
        <v>0</v>
      </c>
      <c r="M55" s="330">
        <f>MAX(-0.75*(SUM('Tillegg- Res. detaljert GoF'!F55:I55,L55)),-'Tillegg- Inndata GoF'!S53*'Tillegg- Inndata GoF'!U53)</f>
        <v>0</v>
      </c>
      <c r="N55" s="331">
        <f>'Tillegg- Inndata GoF'!F53</f>
        <v>0</v>
      </c>
      <c r="O55" s="330">
        <f>'Tillegg- Inndata GoF'!O53*'Tillegg- Inndata GoF'!R53</f>
        <v>0</v>
      </c>
      <c r="P55" s="332">
        <f>'Tillegg- Inndata GoF'!S53*'Tillegg- Inndata GoF'!V53</f>
        <v>0</v>
      </c>
      <c r="Q55" s="333">
        <f>SUM(F55:J55,L55)*'Tillegg- Inndata GoF'!K53</f>
        <v>0</v>
      </c>
      <c r="R55" s="333">
        <f>(K55+M55)*'Tillegg- Inndata GoF'!K53</f>
        <v>0</v>
      </c>
      <c r="S55" s="333">
        <f>SUM(N55:P55)*'Tillegg- Inndata GoF'!K53</f>
        <v>0</v>
      </c>
      <c r="T55" s="334">
        <f>('Tillegg- Inndata GoF'!G53+'Tillegg- Inndata GoF'!O53+'Tillegg- Inndata GoF'!S53)*'Tillegg- Inndata GoF'!K53*Transport_utslipp_til_avfallshånderting_per_kg</f>
        <v>0</v>
      </c>
      <c r="U55" s="330">
        <f>IF('Tillegg- Inndata GoF'!E53 = 0, 0, 1.833*'Tillegg- Inndata GoF'!X53*'Tillegg- Inndata GoF'!K53*('Tillegg- Inndata GoF'!G53*('Tillegg- Inndata GoF'!L53*0.5+'Tillegg- Inndata GoF'!M53*0.8) + (12/44)*('Tillegg- Inndata GoF'!O53*'Tillegg- Inndata GoF'!Q53+'Tillegg- Inndata GoF'!S53*'Tillegg- Inndata GoF'!U53)))</f>
        <v>0</v>
      </c>
      <c r="V55" s="335">
        <f>IF('Tillegg- Inndata GoF'!G53 = 0, 0,  MAX(-SUM(F55:J55,L55)*'Tillegg- Inndata GoF'!L53, -0.114*IF('Tillegg- Inndata GoF'!H53 &gt; 49, _xlfn.XLOOKUP(49, År_etter_ferdigstillelse, karbon_opptak_faktor), _xlfn.XLOOKUP('Tillegg- Inndata GoF'!H53, År_etter_ferdigstillelse, karbon_opptak_faktor))*'Tillegg- Inndata GoF'!G53*'Tillegg- Inndata GoF'!L53*0.5))</f>
        <v>0</v>
      </c>
      <c r="W55" s="333">
        <f>IF('Tillegg- Inndata GoF'!G53=0,0,IF('Tillegg- Inndata GoF'!H53&gt;49,-0.064*'Tillegg- Inndata GoF'!G53*'Tillegg- Inndata GoF'!N53,-0.037*'Tillegg- Inndata GoF'!J53*'Tillegg- Inndata GoF'!N53))</f>
        <v>0</v>
      </c>
      <c r="X55" s="331" cm="1">
        <f t="array" ref="X55">IF(SUM(F55:J55,L55)=0, 0, SUM(F55:J55,L55)*(1+'Tillegg-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Y55" s="330" cm="1">
        <f t="array" ref="Y55">IF(X55=0, 0, SUM(K55,M55)*(1+'Tillegg-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Z55" s="336" cm="1">
        <f t="array" ref="Z55">IF(X55=0, 0, SUM(N55:P55)*(1+'Tillegg-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AA55" s="336" cm="1">
        <f t="array" ref="AA55">IF(X55=0, 0, ('Tillegg- Inndata GoF'!G53+'Tillegg- Inndata GoF'!O53+'Tillegg- Inndata GoF'!S53)*(1+'Tillegg- Inndata GoF'!K53)*Transport_utslipp_til_avfallshånderting_per_kg*IF('Tillegg- Inndata GoF'!H53&gt;50, 0, _xlfn.XLOOKUP('Tillegg- Inndata GoF'!H53, År_etter_ferdigstillelse, IF(VALUE(LEFT('Tillegg- Inndata GoF'!B53, 2))= 49, f_tid_x_f_tek_d_0_037_kumulativ, f_tid_x_f_tek_d_0_01_kumulativ))))</f>
        <v>0</v>
      </c>
      <c r="AB55" s="334" cm="1">
        <f t="array" ref="AB55">IF(X55=0, 0,1.833*'Tillegg- Inndata GoF'!J53*('Tillegg- Inndata GoF'!X53*_xlfn.XLOOKUP(IF('Tillegg- Inndata GoF'!I53&lt;2,'Tillegg- Inndata GoF'!H53,'Tillegg- Inndata GoF'!H53*2), År_etter_ferdigstillelse, Faktorer!$Z$7:$Z$58))*('Tillegg- Inndata GoF'!L53*0.5+'Tillegg- Inndata GoF'!M53*0.8)*_xlfn.XLOOKUP(IF('Tillegg- Inndata GoF'!I53&lt;2,'Tillegg- Inndata GoF'!H53,'Tillegg- Inndata GoF'!H53*2), År_etter_ferdigstillelse,  IF(LEFT('Tillegg- Inndata GoF'!B53, 2)= 49, f_tid_x_f_tek_d_0_037, f_tid_x_f_tek_d_0_01)))</f>
        <v>0</v>
      </c>
      <c r="AC55" s="335">
        <f>IF(('Tillegg- Inndata GoF'!G53) = 0, 0,(('Tillegg- Inndata GoF'!G53)*((AG55+AI55)*Transport_utslipp_til_avfallshånderting_per_kg)+('Tillegg- Inndata GoF'!Z53*'ZERO-B Beregning'!D155)*IF('ZERO-B Beregning'!F156=0,'ZERO-B Beregning'!D156,'ZERO-B Beregning'!F156))*_xlfn.XLOOKUP(51, År_etter_ferdigstillelse, f_tid_x_f_tek_d_0_01))</f>
        <v>0</v>
      </c>
      <c r="AD55" s="337">
        <f>IF(('Tillegg- Inndata GoF'!G53) = 0, 0,1.833*('Tillegg- Inndata GoF'!G53*('Tillegg- Inndata GoF'!L53*0.5+'Tillegg- Inndata GoF'!M53*0.8)*AG55*_xlfn.XLOOKUP(51, År_etter_ferdigstillelse,  f_tid_x_f_tek_d_0_01)))</f>
        <v>0</v>
      </c>
      <c r="AE55" s="333" cm="1">
        <f t="array" ref="AE55">IF(('Tillegg- Inndata GoF'!G53) = 0, 0,-0.8*('Tillegg- Inndata GoF'!G53)*AH55*('Tillegg- Inndata GoF'!E53/'Tillegg- Inndata GoF'!G53)*_xlfn.XLOOKUP(51, År_etter_ferdigstillelse,  IF(LEFT('Tillegg- Inndata GoF'!B53, 2)= 49, f_tid_x_f_tek_d_0_037, f_tid_x_f_tek_d_0_01)))</f>
        <v>0</v>
      </c>
      <c r="AF55" s="338" cm="1">
        <f t="array" ref="AF55">IF(('Tillegg- Inndata GoF'!G53) = 0, 0,-0.1*('Tillegg- Inndata GoF'!G53)*AI55*('Tillegg- Inndata GoF'!E53/'Tillegg- Inndata GoF'!G53)*_xlfn.XLOOKUP(51, År_etter_ferdigstillelse,  IF(LEFT('Tillegg- Inndata GoF'!B53, 2)= 49, f_tid_x_f_tek_d_0_037, f_tid_x_f_tek_d_0_01)))</f>
        <v>0</v>
      </c>
      <c r="AG55" s="572">
        <f>IF(('Tillegg- Inndata GoF'!G53) = 0, 0,'Tillegg- Inndata GoF'!X53*Faktorer!$Z$58)</f>
        <v>0</v>
      </c>
      <c r="AH55" s="573">
        <f>IF(('Tillegg- Inndata GoF'!G53) = 0, 0,'Tillegg- Inndata GoF'!Z53+('Tillegg- Inndata GoF'!X53+'Tillegg- Inndata GoF'!Y53)*(1-Faktorer!$Z$58)*0.5)</f>
        <v>0</v>
      </c>
      <c r="AI55" s="574">
        <f>IF(('Tillegg- Inndata GoF'!G53) = 0, 0,'Tillegg- Inndata GoF'!AA53+('Tillegg- Inndata GoF'!X53+'Tillegg- Inndata GoF'!Y53)*(1-Faktorer!$Z$58)*0.5)</f>
        <v>0</v>
      </c>
      <c r="AK55" s="90">
        <f t="shared" si="1"/>
        <v>0</v>
      </c>
      <c r="AL55" s="91">
        <f>'Tillegg- Res. detaljert GoF'!N55</f>
        <v>0</v>
      </c>
      <c r="AM55" s="91" t="str">
        <f>IF(F55=0,"",('Tillegg- Inndata GoF'!E55+'Tillegg- Inndata GoF'!F55)*ROUNDDOWN('Tillegg- Inndata GoF'!I55,0)*(1+'Tillegg- Inndata GoF'!K55))</f>
        <v/>
      </c>
    </row>
    <row r="56" spans="2:39">
      <c r="B56" s="327">
        <f>'Tillegg- Inndata GoF'!B54</f>
        <v>0</v>
      </c>
      <c r="C56" s="328">
        <f>'Tillegg- Inndata GoF'!C54</f>
        <v>0</v>
      </c>
      <c r="D56" s="329">
        <f>'Tillegg- Inndata GoF'!D54</f>
        <v>0</v>
      </c>
      <c r="E56" s="661" cm="1">
        <f t="array" ref="E56">SUM(IFERROR(F56:AF56,0))</f>
        <v>0</v>
      </c>
      <c r="F56" s="330">
        <f>'Tillegg- Inndata GoF'!E54</f>
        <v>0</v>
      </c>
      <c r="G56" s="330">
        <f>IF('Tillegg- Inndata GoF'!AB54="Ja", -0.8*'Tillegg- Res. detaljert GoF'!$F56, 0)</f>
        <v>0</v>
      </c>
      <c r="H56" s="330">
        <f>IF('Tillegg- Inndata GoF'!AC54="Ja", -0.4*'Tillegg- Res. detaljert GoF'!$F56, 0)</f>
        <v>0</v>
      </c>
      <c r="I56" s="330">
        <f>IF('Tillegg- Inndata GoF'!AD54="Ja", -1*'Tillegg- Res. detaljert GoF'!$F56, 0)</f>
        <v>0</v>
      </c>
      <c r="J56" s="330">
        <f>'Tillegg- Inndata GoF'!O54*'Tillegg- Inndata GoF'!P54</f>
        <v>0</v>
      </c>
      <c r="K56" s="330">
        <f>MAX(-0.75*(SUM('Tillegg- Res. detaljert GoF'!F56:J56)),-'Tillegg- Inndata GoF'!O54*'Tillegg- Inndata GoF'!Q54)</f>
        <v>0</v>
      </c>
      <c r="L56" s="330">
        <f>'Tillegg- Inndata GoF'!S54*'Tillegg- Inndata GoF'!T54</f>
        <v>0</v>
      </c>
      <c r="M56" s="330">
        <f>MAX(-0.75*(SUM('Tillegg- Res. detaljert GoF'!F56:I56,L56)),-'Tillegg- Inndata GoF'!S54*'Tillegg- Inndata GoF'!U54)</f>
        <v>0</v>
      </c>
      <c r="N56" s="331">
        <f>'Tillegg- Inndata GoF'!F54</f>
        <v>0</v>
      </c>
      <c r="O56" s="330">
        <f>'Tillegg- Inndata GoF'!O54*'Tillegg- Inndata GoF'!R54</f>
        <v>0</v>
      </c>
      <c r="P56" s="332">
        <f>'Tillegg- Inndata GoF'!S54*'Tillegg- Inndata GoF'!V54</f>
        <v>0</v>
      </c>
      <c r="Q56" s="333">
        <f>SUM(F56:J56,L56)*'Tillegg- Inndata GoF'!K54</f>
        <v>0</v>
      </c>
      <c r="R56" s="333">
        <f>(K56+M56)*'Tillegg- Inndata GoF'!K54</f>
        <v>0</v>
      </c>
      <c r="S56" s="333">
        <f>SUM(N56:P56)*'Tillegg- Inndata GoF'!K54</f>
        <v>0</v>
      </c>
      <c r="T56" s="334">
        <f>('Tillegg- Inndata GoF'!G54+'Tillegg- Inndata GoF'!O54+'Tillegg- Inndata GoF'!S54)*'Tillegg- Inndata GoF'!K54*Transport_utslipp_til_avfallshånderting_per_kg</f>
        <v>0</v>
      </c>
      <c r="U56" s="330">
        <f>IF('Tillegg- Inndata GoF'!E54 = 0, 0, 1.833*'Tillegg- Inndata GoF'!X54*'Tillegg- Inndata GoF'!K54*('Tillegg- Inndata GoF'!G54*('Tillegg- Inndata GoF'!L54*0.5+'Tillegg- Inndata GoF'!M54*0.8) + (12/44)*('Tillegg- Inndata GoF'!O54*'Tillegg- Inndata GoF'!Q54+'Tillegg- Inndata GoF'!S54*'Tillegg- Inndata GoF'!U54)))</f>
        <v>0</v>
      </c>
      <c r="V56" s="335">
        <f>IF('Tillegg- Inndata GoF'!G54 = 0, 0,  MAX(-SUM(F56:J56,L56)*'Tillegg- Inndata GoF'!L54, -0.114*IF('Tillegg- Inndata GoF'!H54 &gt; 49, _xlfn.XLOOKUP(49, År_etter_ferdigstillelse, karbon_opptak_faktor), _xlfn.XLOOKUP('Tillegg- Inndata GoF'!H54, År_etter_ferdigstillelse, karbon_opptak_faktor))*'Tillegg- Inndata GoF'!G54*'Tillegg- Inndata GoF'!L54*0.5))</f>
        <v>0</v>
      </c>
      <c r="W56" s="333">
        <f>IF('Tillegg- Inndata GoF'!G54=0,0,IF('Tillegg- Inndata GoF'!H54&gt;49,-0.064*'Tillegg- Inndata GoF'!G54*'Tillegg- Inndata GoF'!N54,-0.037*'Tillegg- Inndata GoF'!J54*'Tillegg- Inndata GoF'!N54))</f>
        <v>0</v>
      </c>
      <c r="X56" s="331" cm="1">
        <f t="array" ref="X56">IF(SUM(F56:J56,L56)=0, 0, SUM(F56:J56,L56)*(1+'Tillegg-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Y56" s="330" cm="1">
        <f t="array" ref="Y56">IF(X56=0, 0, SUM(K56,M56)*(1+'Tillegg-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Z56" s="336" cm="1">
        <f t="array" ref="Z56">IF(X56=0, 0, SUM(N56:P56)*(1+'Tillegg-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AA56" s="336" cm="1">
        <f t="array" ref="AA56">IF(X56=0, 0, ('Tillegg- Inndata GoF'!G54+'Tillegg- Inndata GoF'!O54+'Tillegg- Inndata GoF'!S54)*(1+'Tillegg- Inndata GoF'!K54)*Transport_utslipp_til_avfallshånderting_per_kg*IF('Tillegg- Inndata GoF'!H54&gt;50, 0, _xlfn.XLOOKUP('Tillegg- Inndata GoF'!H54, År_etter_ferdigstillelse, IF(VALUE(LEFT('Tillegg- Inndata GoF'!B54, 2))= 49, f_tid_x_f_tek_d_0_037_kumulativ, f_tid_x_f_tek_d_0_01_kumulativ))))</f>
        <v>0</v>
      </c>
      <c r="AB56" s="334" cm="1">
        <f t="array" ref="AB56">IF(X56=0, 0,1.833*'Tillegg- Inndata GoF'!J54*('Tillegg- Inndata GoF'!X54*_xlfn.XLOOKUP(IF('Tillegg- Inndata GoF'!I54&lt;2,'Tillegg- Inndata GoF'!H54,'Tillegg- Inndata GoF'!H54*2), År_etter_ferdigstillelse, Faktorer!$Z$7:$Z$58))*('Tillegg- Inndata GoF'!L54*0.5+'Tillegg- Inndata GoF'!M54*0.8)*_xlfn.XLOOKUP(IF('Tillegg- Inndata GoF'!I54&lt;2,'Tillegg- Inndata GoF'!H54,'Tillegg- Inndata GoF'!H54*2), År_etter_ferdigstillelse,  IF(LEFT('Tillegg- Inndata GoF'!B54, 2)= 49, f_tid_x_f_tek_d_0_037, f_tid_x_f_tek_d_0_01)))</f>
        <v>0</v>
      </c>
      <c r="AC56" s="335">
        <f>IF(('Tillegg- Inndata GoF'!G54) = 0, 0,(('Tillegg- Inndata GoF'!G54)*((AG56+AI56)*Transport_utslipp_til_avfallshånderting_per_kg)+('Tillegg- Inndata GoF'!Z54*'ZERO-B Beregning'!D156)*IF('ZERO-B Beregning'!F157=0,'ZERO-B Beregning'!D157,'ZERO-B Beregning'!F157))*_xlfn.XLOOKUP(51, År_etter_ferdigstillelse, f_tid_x_f_tek_d_0_01))</f>
        <v>0</v>
      </c>
      <c r="AD56" s="337">
        <f>IF(('Tillegg- Inndata GoF'!G54) = 0, 0,1.833*('Tillegg- Inndata GoF'!G54*('Tillegg- Inndata GoF'!L54*0.5+'Tillegg- Inndata GoF'!M54*0.8)*AG56*_xlfn.XLOOKUP(51, År_etter_ferdigstillelse,  f_tid_x_f_tek_d_0_01)))</f>
        <v>0</v>
      </c>
      <c r="AE56" s="333" cm="1">
        <f t="array" ref="AE56">IF(('Tillegg- Inndata GoF'!G54) = 0, 0,-0.8*('Tillegg- Inndata GoF'!G54)*AH56*('Tillegg- Inndata GoF'!E54/'Tillegg- Inndata GoF'!G54)*_xlfn.XLOOKUP(51, År_etter_ferdigstillelse,  IF(LEFT('Tillegg- Inndata GoF'!B54, 2)= 49, f_tid_x_f_tek_d_0_037, f_tid_x_f_tek_d_0_01)))</f>
        <v>0</v>
      </c>
      <c r="AF56" s="338" cm="1">
        <f t="array" ref="AF56">IF(('Tillegg- Inndata GoF'!G54) = 0, 0,-0.1*('Tillegg- Inndata GoF'!G54)*AI56*('Tillegg- Inndata GoF'!E54/'Tillegg- Inndata GoF'!G54)*_xlfn.XLOOKUP(51, År_etter_ferdigstillelse,  IF(LEFT('Tillegg- Inndata GoF'!B54, 2)= 49, f_tid_x_f_tek_d_0_037, f_tid_x_f_tek_d_0_01)))</f>
        <v>0</v>
      </c>
      <c r="AG56" s="572">
        <f>IF(('Tillegg- Inndata GoF'!G54) = 0, 0,'Tillegg- Inndata GoF'!X54*Faktorer!$Z$58)</f>
        <v>0</v>
      </c>
      <c r="AH56" s="573">
        <f>IF(('Tillegg- Inndata GoF'!G54) = 0, 0,'Tillegg- Inndata GoF'!Z54+('Tillegg- Inndata GoF'!X54+'Tillegg- Inndata GoF'!Y54)*(1-Faktorer!$Z$58)*0.5)</f>
        <v>0</v>
      </c>
      <c r="AI56" s="574">
        <f>IF(('Tillegg- Inndata GoF'!G54) = 0, 0,'Tillegg- Inndata GoF'!AA54+('Tillegg- Inndata GoF'!X54+'Tillegg- Inndata GoF'!Y54)*(1-Faktorer!$Z$58)*0.5)</f>
        <v>0</v>
      </c>
      <c r="AK56" s="90">
        <f t="shared" si="1"/>
        <v>0</v>
      </c>
      <c r="AL56" s="91">
        <f>'Tillegg- Res. detaljert GoF'!N56</f>
        <v>0</v>
      </c>
      <c r="AM56" s="91" t="str">
        <f>IF(F56=0,"",('Tillegg- Inndata GoF'!E56+'Tillegg- Inndata GoF'!F56)*ROUNDDOWN('Tillegg- Inndata GoF'!I56,0)*(1+'Tillegg- Inndata GoF'!K56))</f>
        <v/>
      </c>
    </row>
    <row r="57" spans="2:39">
      <c r="B57" s="327">
        <f>'Tillegg- Inndata GoF'!B55</f>
        <v>0</v>
      </c>
      <c r="C57" s="328">
        <f>'Tillegg- Inndata GoF'!C55</f>
        <v>0</v>
      </c>
      <c r="D57" s="329">
        <f>'Tillegg- Inndata GoF'!D55</f>
        <v>0</v>
      </c>
      <c r="E57" s="661" cm="1">
        <f t="array" ref="E57">SUM(IFERROR(F57:AF57,0))</f>
        <v>0</v>
      </c>
      <c r="F57" s="330">
        <f>'Tillegg- Inndata GoF'!E55</f>
        <v>0</v>
      </c>
      <c r="G57" s="330">
        <f>IF('Tillegg- Inndata GoF'!AB55="Ja", -0.8*'Tillegg- Res. detaljert GoF'!$F57, 0)</f>
        <v>0</v>
      </c>
      <c r="H57" s="330">
        <f>IF('Tillegg- Inndata GoF'!AC55="Ja", -0.4*'Tillegg- Res. detaljert GoF'!$F57, 0)</f>
        <v>0</v>
      </c>
      <c r="I57" s="330">
        <f>IF('Tillegg- Inndata GoF'!AD55="Ja", -1*'Tillegg- Res. detaljert GoF'!$F57, 0)</f>
        <v>0</v>
      </c>
      <c r="J57" s="330">
        <f>'Tillegg- Inndata GoF'!O55*'Tillegg- Inndata GoF'!P55</f>
        <v>0</v>
      </c>
      <c r="K57" s="330">
        <f>MAX(-0.75*(SUM('Tillegg- Res. detaljert GoF'!F57:J57)),-'Tillegg- Inndata GoF'!O55*'Tillegg- Inndata GoF'!Q55)</f>
        <v>0</v>
      </c>
      <c r="L57" s="330">
        <f>'Tillegg- Inndata GoF'!S55*'Tillegg- Inndata GoF'!T55</f>
        <v>0</v>
      </c>
      <c r="M57" s="330">
        <f>MAX(-0.75*(SUM('Tillegg- Res. detaljert GoF'!F57:I57,L57)),-'Tillegg- Inndata GoF'!S55*'Tillegg- Inndata GoF'!U55)</f>
        <v>0</v>
      </c>
      <c r="N57" s="331">
        <f>'Tillegg- Inndata GoF'!F55</f>
        <v>0</v>
      </c>
      <c r="O57" s="330">
        <f>'Tillegg- Inndata GoF'!O55*'Tillegg- Inndata GoF'!R55</f>
        <v>0</v>
      </c>
      <c r="P57" s="332">
        <f>'Tillegg- Inndata GoF'!S55*'Tillegg- Inndata GoF'!V55</f>
        <v>0</v>
      </c>
      <c r="Q57" s="333">
        <f>SUM(F57:J57,L57)*'Tillegg- Inndata GoF'!K55</f>
        <v>0</v>
      </c>
      <c r="R57" s="333">
        <f>(K57+M57)*'Tillegg- Inndata GoF'!K55</f>
        <v>0</v>
      </c>
      <c r="S57" s="333">
        <f>SUM(N57:P57)*'Tillegg- Inndata GoF'!K55</f>
        <v>0</v>
      </c>
      <c r="T57" s="334">
        <f>('Tillegg- Inndata GoF'!G55+'Tillegg- Inndata GoF'!O55+'Tillegg- Inndata GoF'!S55)*'Tillegg- Inndata GoF'!K55*Transport_utslipp_til_avfallshånderting_per_kg</f>
        <v>0</v>
      </c>
      <c r="U57" s="330">
        <f>IF('Tillegg- Inndata GoF'!E55 = 0, 0, 1.833*'Tillegg- Inndata GoF'!X55*'Tillegg- Inndata GoF'!K55*('Tillegg- Inndata GoF'!G55*('Tillegg- Inndata GoF'!L55*0.5+'Tillegg- Inndata GoF'!M55*0.8) + (12/44)*('Tillegg- Inndata GoF'!O55*'Tillegg- Inndata GoF'!Q55+'Tillegg- Inndata GoF'!S55*'Tillegg- Inndata GoF'!U55)))</f>
        <v>0</v>
      </c>
      <c r="V57" s="335">
        <f>IF('Tillegg- Inndata GoF'!G55 = 0, 0,  MAX(-SUM(F57:J57,L57)*'Tillegg- Inndata GoF'!L55, -0.114*IF('Tillegg- Inndata GoF'!H55 &gt; 49, _xlfn.XLOOKUP(49, År_etter_ferdigstillelse, karbon_opptak_faktor), _xlfn.XLOOKUP('Tillegg- Inndata GoF'!H55, År_etter_ferdigstillelse, karbon_opptak_faktor))*'Tillegg- Inndata GoF'!G55*'Tillegg- Inndata GoF'!L55*0.5))</f>
        <v>0</v>
      </c>
      <c r="W57" s="333">
        <f>IF('Tillegg- Inndata GoF'!G55=0,0,IF('Tillegg- Inndata GoF'!H55&gt;49,-0.064*'Tillegg- Inndata GoF'!G55*'Tillegg- Inndata GoF'!N55,-0.037*'Tillegg- Inndata GoF'!J55*'Tillegg- Inndata GoF'!N55))</f>
        <v>0</v>
      </c>
      <c r="X57" s="331" cm="1">
        <f t="array" ref="X57">IF(SUM(F57:J57,L57)=0, 0, SUM(F57:J57,L57)*(1+'Tillegg-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Y57" s="330" cm="1">
        <f t="array" ref="Y57">IF(X57=0, 0, SUM(K57,M57)*(1+'Tillegg-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Z57" s="336" cm="1">
        <f t="array" ref="Z57">IF(X57=0, 0, SUM(N57:P57)*(1+'Tillegg-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AA57" s="336" cm="1">
        <f t="array" ref="AA57">IF(X57=0, 0, ('Tillegg- Inndata GoF'!G55+'Tillegg- Inndata GoF'!O55+'Tillegg- Inndata GoF'!S55)*(1+'Tillegg- Inndata GoF'!K55)*Transport_utslipp_til_avfallshånderting_per_kg*IF('Tillegg- Inndata GoF'!H55&gt;50, 0, _xlfn.XLOOKUP('Tillegg- Inndata GoF'!H55, År_etter_ferdigstillelse, IF(VALUE(LEFT('Tillegg- Inndata GoF'!B55, 2))= 49, f_tid_x_f_tek_d_0_037_kumulativ, f_tid_x_f_tek_d_0_01_kumulativ))))</f>
        <v>0</v>
      </c>
      <c r="AB57" s="334" cm="1">
        <f t="array" ref="AB57">IF(X57=0, 0,1.833*'Tillegg- Inndata GoF'!J55*('Tillegg- Inndata GoF'!X55*_xlfn.XLOOKUP(IF('Tillegg- Inndata GoF'!I55&lt;2,'Tillegg- Inndata GoF'!H55,'Tillegg- Inndata GoF'!H55*2), År_etter_ferdigstillelse, Faktorer!$Z$7:$Z$58))*('Tillegg- Inndata GoF'!L55*0.5+'Tillegg- Inndata GoF'!M55*0.8)*_xlfn.XLOOKUP(IF('Tillegg- Inndata GoF'!I55&lt;2,'Tillegg- Inndata GoF'!H55,'Tillegg- Inndata GoF'!H55*2), År_etter_ferdigstillelse,  IF(LEFT('Tillegg- Inndata GoF'!B55, 2)= 49, f_tid_x_f_tek_d_0_037, f_tid_x_f_tek_d_0_01)))</f>
        <v>0</v>
      </c>
      <c r="AC57" s="335">
        <f>IF(('Tillegg- Inndata GoF'!G55) = 0, 0,(('Tillegg- Inndata GoF'!G55)*((AG57+AI57)*Transport_utslipp_til_avfallshånderting_per_kg)+('Tillegg- Inndata GoF'!Z55*'ZERO-B Beregning'!D157)*IF('ZERO-B Beregning'!F158=0,'ZERO-B Beregning'!D158,'ZERO-B Beregning'!F158))*_xlfn.XLOOKUP(51, År_etter_ferdigstillelse, f_tid_x_f_tek_d_0_01))</f>
        <v>0</v>
      </c>
      <c r="AD57" s="337">
        <f>IF(('Tillegg- Inndata GoF'!G55) = 0, 0,1.833*('Tillegg- Inndata GoF'!G55*('Tillegg- Inndata GoF'!L55*0.5+'Tillegg- Inndata GoF'!M55*0.8)*AG57*_xlfn.XLOOKUP(51, År_etter_ferdigstillelse,  f_tid_x_f_tek_d_0_01)))</f>
        <v>0</v>
      </c>
      <c r="AE57" s="333" cm="1">
        <f t="array" ref="AE57">IF(('Tillegg- Inndata GoF'!G55) = 0, 0,-0.8*('Tillegg- Inndata GoF'!G55)*AH57*('Tillegg- Inndata GoF'!E55/'Tillegg- Inndata GoF'!G55)*_xlfn.XLOOKUP(51, År_etter_ferdigstillelse,  IF(LEFT('Tillegg- Inndata GoF'!B55, 2)= 49, f_tid_x_f_tek_d_0_037, f_tid_x_f_tek_d_0_01)))</f>
        <v>0</v>
      </c>
      <c r="AF57" s="338" cm="1">
        <f t="array" ref="AF57">IF(('Tillegg- Inndata GoF'!G55) = 0, 0,-0.1*('Tillegg- Inndata GoF'!G55)*AI57*('Tillegg- Inndata GoF'!E55/'Tillegg- Inndata GoF'!G55)*_xlfn.XLOOKUP(51, År_etter_ferdigstillelse,  IF(LEFT('Tillegg- Inndata GoF'!B55, 2)= 49, f_tid_x_f_tek_d_0_037, f_tid_x_f_tek_d_0_01)))</f>
        <v>0</v>
      </c>
      <c r="AG57" s="572">
        <f>IF(('Tillegg- Inndata GoF'!G55) = 0, 0,'Tillegg- Inndata GoF'!X55*Faktorer!$Z$58)</f>
        <v>0</v>
      </c>
      <c r="AH57" s="573">
        <f>IF(('Tillegg- Inndata GoF'!G55) = 0, 0,'Tillegg- Inndata GoF'!Z55+('Tillegg- Inndata GoF'!X55+'Tillegg- Inndata GoF'!Y55)*(1-Faktorer!$Z$58)*0.5)</f>
        <v>0</v>
      </c>
      <c r="AI57" s="574">
        <f>IF(('Tillegg- Inndata GoF'!G55) = 0, 0,'Tillegg- Inndata GoF'!AA55+('Tillegg- Inndata GoF'!X55+'Tillegg- Inndata GoF'!Y55)*(1-Faktorer!$Z$58)*0.5)</f>
        <v>0</v>
      </c>
      <c r="AK57" s="90">
        <f t="shared" si="1"/>
        <v>0</v>
      </c>
      <c r="AL57" s="91">
        <f>'Tillegg- Res. detaljert GoF'!N57</f>
        <v>0</v>
      </c>
      <c r="AM57" s="91" t="str">
        <f>IF(F57=0,"",('Tillegg- Inndata GoF'!E57+'Tillegg- Inndata GoF'!F57)*ROUNDDOWN('Tillegg- Inndata GoF'!I57,0)*(1+'Tillegg- Inndata GoF'!K57))</f>
        <v/>
      </c>
    </row>
    <row r="58" spans="2:39">
      <c r="B58" s="327">
        <f>'Tillegg- Inndata GoF'!B56</f>
        <v>0</v>
      </c>
      <c r="C58" s="328">
        <f>'Tillegg- Inndata GoF'!C56</f>
        <v>0</v>
      </c>
      <c r="D58" s="329">
        <f>'Tillegg- Inndata GoF'!D56</f>
        <v>0</v>
      </c>
      <c r="E58" s="661" cm="1">
        <f t="array" ref="E58">SUM(IFERROR(F58:AF58,0))</f>
        <v>0</v>
      </c>
      <c r="F58" s="330">
        <f>'Tillegg- Inndata GoF'!E56</f>
        <v>0</v>
      </c>
      <c r="G58" s="330">
        <f>IF('Tillegg- Inndata GoF'!AB56="Ja", -0.8*'Tillegg- Res. detaljert GoF'!$F58, 0)</f>
        <v>0</v>
      </c>
      <c r="H58" s="330">
        <f>IF('Tillegg- Inndata GoF'!AC56="Ja", -0.4*'Tillegg- Res. detaljert GoF'!$F58, 0)</f>
        <v>0</v>
      </c>
      <c r="I58" s="330">
        <f>IF('Tillegg- Inndata GoF'!AD56="Ja", -1*'Tillegg- Res. detaljert GoF'!$F58, 0)</f>
        <v>0</v>
      </c>
      <c r="J58" s="330">
        <f>'Tillegg- Inndata GoF'!O56*'Tillegg- Inndata GoF'!P56</f>
        <v>0</v>
      </c>
      <c r="K58" s="330">
        <f>MAX(-0.75*(SUM('Tillegg- Res. detaljert GoF'!F58:J58)),-'Tillegg- Inndata GoF'!O56*'Tillegg- Inndata GoF'!Q56)</f>
        <v>0</v>
      </c>
      <c r="L58" s="330">
        <f>'Tillegg- Inndata GoF'!S56*'Tillegg- Inndata GoF'!T56</f>
        <v>0</v>
      </c>
      <c r="M58" s="330">
        <f>MAX(-0.75*(SUM('Tillegg- Res. detaljert GoF'!F58:I58,L58)),-'Tillegg- Inndata GoF'!S56*'Tillegg- Inndata GoF'!U56)</f>
        <v>0</v>
      </c>
      <c r="N58" s="331">
        <f>'Tillegg- Inndata GoF'!F56</f>
        <v>0</v>
      </c>
      <c r="O58" s="330">
        <f>'Tillegg- Inndata GoF'!O56*'Tillegg- Inndata GoF'!R56</f>
        <v>0</v>
      </c>
      <c r="P58" s="332">
        <f>'Tillegg- Inndata GoF'!S56*'Tillegg- Inndata GoF'!V56</f>
        <v>0</v>
      </c>
      <c r="Q58" s="333">
        <f>SUM(F58:J58,L58)*'Tillegg- Inndata GoF'!K56</f>
        <v>0</v>
      </c>
      <c r="R58" s="333">
        <f>(K58+M58)*'Tillegg- Inndata GoF'!K56</f>
        <v>0</v>
      </c>
      <c r="S58" s="333">
        <f>SUM(N58:P58)*'Tillegg- Inndata GoF'!K56</f>
        <v>0</v>
      </c>
      <c r="T58" s="334">
        <f>('Tillegg- Inndata GoF'!G56+'Tillegg- Inndata GoF'!O56+'Tillegg- Inndata GoF'!S56)*'Tillegg- Inndata GoF'!K56*Transport_utslipp_til_avfallshånderting_per_kg</f>
        <v>0</v>
      </c>
      <c r="U58" s="330">
        <f>IF('Tillegg- Inndata GoF'!E56 = 0, 0, 1.833*'Tillegg- Inndata GoF'!X56*'Tillegg- Inndata GoF'!K56*('Tillegg- Inndata GoF'!G56*('Tillegg- Inndata GoF'!L56*0.5+'Tillegg- Inndata GoF'!M56*0.8) + (12/44)*('Tillegg- Inndata GoF'!O56*'Tillegg- Inndata GoF'!Q56+'Tillegg- Inndata GoF'!S56*'Tillegg- Inndata GoF'!U56)))</f>
        <v>0</v>
      </c>
      <c r="V58" s="335">
        <f>IF('Tillegg- Inndata GoF'!G56 = 0, 0,  MAX(-SUM(F58:J58,L58)*'Tillegg- Inndata GoF'!L56, -0.114*IF('Tillegg- Inndata GoF'!H56 &gt; 49, _xlfn.XLOOKUP(49, År_etter_ferdigstillelse, karbon_opptak_faktor), _xlfn.XLOOKUP('Tillegg- Inndata GoF'!H56, År_etter_ferdigstillelse, karbon_opptak_faktor))*'Tillegg- Inndata GoF'!G56*'Tillegg- Inndata GoF'!L56*0.5))</f>
        <v>0</v>
      </c>
      <c r="W58" s="333">
        <f>IF('Tillegg- Inndata GoF'!G56=0,0,IF('Tillegg- Inndata GoF'!H56&gt;49,-0.064*'Tillegg- Inndata GoF'!G56*'Tillegg- Inndata GoF'!N56,-0.037*'Tillegg- Inndata GoF'!J56*'Tillegg- Inndata GoF'!N56))</f>
        <v>0</v>
      </c>
      <c r="X58" s="331" cm="1">
        <f t="array" ref="X58">IF(SUM(F58:J58,L58)=0, 0, SUM(F58:J58,L58)*(1+'Tillegg-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Y58" s="330" cm="1">
        <f t="array" ref="Y58">IF(X58=0, 0, SUM(K58,M58)*(1+'Tillegg-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Z58" s="336" cm="1">
        <f t="array" ref="Z58">IF(X58=0, 0, SUM(N58:P58)*(1+'Tillegg-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AA58" s="336" cm="1">
        <f t="array" ref="AA58">IF(X58=0, 0, ('Tillegg- Inndata GoF'!G56+'Tillegg- Inndata GoF'!O56+'Tillegg- Inndata GoF'!S56)*(1+'Tillegg- Inndata GoF'!K56)*Transport_utslipp_til_avfallshånderting_per_kg*IF('Tillegg- Inndata GoF'!H56&gt;50, 0, _xlfn.XLOOKUP('Tillegg- Inndata GoF'!H56, År_etter_ferdigstillelse, IF(VALUE(LEFT('Tillegg- Inndata GoF'!B56, 2))= 49, f_tid_x_f_tek_d_0_037_kumulativ, f_tid_x_f_tek_d_0_01_kumulativ))))</f>
        <v>0</v>
      </c>
      <c r="AB58" s="334" cm="1">
        <f t="array" ref="AB58">IF(X58=0, 0,1.833*'Tillegg- Inndata GoF'!J56*('Tillegg- Inndata GoF'!X56*_xlfn.XLOOKUP(IF('Tillegg- Inndata GoF'!I56&lt;2,'Tillegg- Inndata GoF'!H56,'Tillegg- Inndata GoF'!H56*2), År_etter_ferdigstillelse, Faktorer!$Z$7:$Z$58))*('Tillegg- Inndata GoF'!L56*0.5+'Tillegg- Inndata GoF'!M56*0.8)*_xlfn.XLOOKUP(IF('Tillegg- Inndata GoF'!I56&lt;2,'Tillegg- Inndata GoF'!H56,'Tillegg- Inndata GoF'!H56*2), År_etter_ferdigstillelse,  IF(LEFT('Tillegg- Inndata GoF'!B56, 2)= 49, f_tid_x_f_tek_d_0_037, f_tid_x_f_tek_d_0_01)))</f>
        <v>0</v>
      </c>
      <c r="AC58" s="335">
        <f>IF(('Tillegg- Inndata GoF'!G56) = 0, 0,(('Tillegg- Inndata GoF'!G56)*((AG58+AI58)*Transport_utslipp_til_avfallshånderting_per_kg)+('Tillegg- Inndata GoF'!Z56*'ZERO-B Beregning'!D158)*IF('ZERO-B Beregning'!F159=0,'ZERO-B Beregning'!D159,'ZERO-B Beregning'!F159))*_xlfn.XLOOKUP(51, År_etter_ferdigstillelse, f_tid_x_f_tek_d_0_01))</f>
        <v>0</v>
      </c>
      <c r="AD58" s="337">
        <f>IF(('Tillegg- Inndata GoF'!G56) = 0, 0,1.833*('Tillegg- Inndata GoF'!G56*('Tillegg- Inndata GoF'!L56*0.5+'Tillegg- Inndata GoF'!M56*0.8)*AG58*_xlfn.XLOOKUP(51, År_etter_ferdigstillelse,  f_tid_x_f_tek_d_0_01)))</f>
        <v>0</v>
      </c>
      <c r="AE58" s="333" cm="1">
        <f t="array" ref="AE58">IF(('Tillegg- Inndata GoF'!G56) = 0, 0,-0.8*('Tillegg- Inndata GoF'!G56)*AH58*('Tillegg- Inndata GoF'!E56/'Tillegg- Inndata GoF'!G56)*_xlfn.XLOOKUP(51, År_etter_ferdigstillelse,  IF(LEFT('Tillegg- Inndata GoF'!B56, 2)= 49, f_tid_x_f_tek_d_0_037, f_tid_x_f_tek_d_0_01)))</f>
        <v>0</v>
      </c>
      <c r="AF58" s="338" cm="1">
        <f t="array" ref="AF58">IF(('Tillegg- Inndata GoF'!G56) = 0, 0,-0.1*('Tillegg- Inndata GoF'!G56)*AI58*('Tillegg- Inndata GoF'!E56/'Tillegg- Inndata GoF'!G56)*_xlfn.XLOOKUP(51, År_etter_ferdigstillelse,  IF(LEFT('Tillegg- Inndata GoF'!B56, 2)= 49, f_tid_x_f_tek_d_0_037, f_tid_x_f_tek_d_0_01)))</f>
        <v>0</v>
      </c>
      <c r="AG58" s="572">
        <f>IF(('Tillegg- Inndata GoF'!G56) = 0, 0,'Tillegg- Inndata GoF'!X56*Faktorer!$Z$58)</f>
        <v>0</v>
      </c>
      <c r="AH58" s="573">
        <f>IF(('Tillegg- Inndata GoF'!G56) = 0, 0,'Tillegg- Inndata GoF'!Z56+('Tillegg- Inndata GoF'!X56+'Tillegg- Inndata GoF'!Y56)*(1-Faktorer!$Z$58)*0.5)</f>
        <v>0</v>
      </c>
      <c r="AI58" s="574">
        <f>IF(('Tillegg- Inndata GoF'!G56) = 0, 0,'Tillegg- Inndata GoF'!AA56+('Tillegg- Inndata GoF'!X56+'Tillegg- Inndata GoF'!Y56)*(1-Faktorer!$Z$58)*0.5)</f>
        <v>0</v>
      </c>
      <c r="AK58" s="90">
        <f t="shared" si="1"/>
        <v>0</v>
      </c>
      <c r="AL58" s="91">
        <f>'Tillegg- Res. detaljert GoF'!N58</f>
        <v>0</v>
      </c>
      <c r="AM58" s="91" t="str">
        <f>IF(F58=0,"",('Tillegg- Inndata GoF'!E58+'Tillegg- Inndata GoF'!F58)*ROUNDDOWN('Tillegg- Inndata GoF'!I58,0)*(1+'Tillegg- Inndata GoF'!K58))</f>
        <v/>
      </c>
    </row>
    <row r="59" spans="2:39">
      <c r="B59" s="327">
        <f>'Tillegg- Inndata GoF'!B57</f>
        <v>0</v>
      </c>
      <c r="C59" s="328">
        <f>'Tillegg- Inndata GoF'!C57</f>
        <v>0</v>
      </c>
      <c r="D59" s="329">
        <f>'Tillegg- Inndata GoF'!D57</f>
        <v>0</v>
      </c>
      <c r="E59" s="661" cm="1">
        <f t="array" ref="E59">SUM(IFERROR(F59:AF59,0))</f>
        <v>0</v>
      </c>
      <c r="F59" s="330">
        <f>'Tillegg- Inndata GoF'!E57</f>
        <v>0</v>
      </c>
      <c r="G59" s="330">
        <f>IF('Tillegg- Inndata GoF'!AB57="Ja", -0.8*'Tillegg- Res. detaljert GoF'!$F59, 0)</f>
        <v>0</v>
      </c>
      <c r="H59" s="330">
        <f>IF('Tillegg- Inndata GoF'!AC57="Ja", -0.4*'Tillegg- Res. detaljert GoF'!$F59, 0)</f>
        <v>0</v>
      </c>
      <c r="I59" s="330">
        <f>IF('Tillegg- Inndata GoF'!AD57="Ja", -1*'Tillegg- Res. detaljert GoF'!$F59, 0)</f>
        <v>0</v>
      </c>
      <c r="J59" s="330">
        <f>'Tillegg- Inndata GoF'!O57*'Tillegg- Inndata GoF'!P57</f>
        <v>0</v>
      </c>
      <c r="K59" s="330">
        <f>MAX(-0.75*(SUM('Tillegg- Res. detaljert GoF'!F59:J59)),-'Tillegg- Inndata GoF'!O57*'Tillegg- Inndata GoF'!Q57)</f>
        <v>0</v>
      </c>
      <c r="L59" s="330">
        <f>'Tillegg- Inndata GoF'!S57*'Tillegg- Inndata GoF'!T57</f>
        <v>0</v>
      </c>
      <c r="M59" s="330">
        <f>MAX(-0.75*(SUM('Tillegg- Res. detaljert GoF'!F59:I59,L59)),-'Tillegg- Inndata GoF'!S57*'Tillegg- Inndata GoF'!U57)</f>
        <v>0</v>
      </c>
      <c r="N59" s="331">
        <f>'Tillegg- Inndata GoF'!F57</f>
        <v>0</v>
      </c>
      <c r="O59" s="330">
        <f>'Tillegg- Inndata GoF'!O57*'Tillegg- Inndata GoF'!R57</f>
        <v>0</v>
      </c>
      <c r="P59" s="332">
        <f>'Tillegg- Inndata GoF'!S57*'Tillegg- Inndata GoF'!V57</f>
        <v>0</v>
      </c>
      <c r="Q59" s="333">
        <f>SUM(F59:J59,L59)*'Tillegg- Inndata GoF'!K57</f>
        <v>0</v>
      </c>
      <c r="R59" s="333">
        <f>(K59+M59)*'Tillegg- Inndata GoF'!K57</f>
        <v>0</v>
      </c>
      <c r="S59" s="333">
        <f>SUM(N59:P59)*'Tillegg- Inndata GoF'!K57</f>
        <v>0</v>
      </c>
      <c r="T59" s="334">
        <f>('Tillegg- Inndata GoF'!G57+'Tillegg- Inndata GoF'!O57+'Tillegg- Inndata GoF'!S57)*'Tillegg- Inndata GoF'!K57*Transport_utslipp_til_avfallshånderting_per_kg</f>
        <v>0</v>
      </c>
      <c r="U59" s="330">
        <f>IF('Tillegg- Inndata GoF'!E57 = 0, 0, 1.833*'Tillegg- Inndata GoF'!X57*'Tillegg- Inndata GoF'!K57*('Tillegg- Inndata GoF'!G57*('Tillegg- Inndata GoF'!L57*0.5+'Tillegg- Inndata GoF'!M57*0.8) + (12/44)*('Tillegg- Inndata GoF'!O57*'Tillegg- Inndata GoF'!Q57+'Tillegg- Inndata GoF'!S57*'Tillegg- Inndata GoF'!U57)))</f>
        <v>0</v>
      </c>
      <c r="V59" s="335">
        <f>IF('Tillegg- Inndata GoF'!G57 = 0, 0,  MAX(-SUM(F59:J59,L59)*'Tillegg- Inndata GoF'!L57, -0.114*IF('Tillegg- Inndata GoF'!H57 &gt; 49, _xlfn.XLOOKUP(49, År_etter_ferdigstillelse, karbon_opptak_faktor), _xlfn.XLOOKUP('Tillegg- Inndata GoF'!H57, År_etter_ferdigstillelse, karbon_opptak_faktor))*'Tillegg- Inndata GoF'!G57*'Tillegg- Inndata GoF'!L57*0.5))</f>
        <v>0</v>
      </c>
      <c r="W59" s="333">
        <f>IF('Tillegg- Inndata GoF'!G57=0,0,IF('Tillegg- Inndata GoF'!H57&gt;49,-0.064*'Tillegg- Inndata GoF'!G57*'Tillegg- Inndata GoF'!N57,-0.037*'Tillegg- Inndata GoF'!J57*'Tillegg- Inndata GoF'!N57))</f>
        <v>0</v>
      </c>
      <c r="X59" s="331" cm="1">
        <f t="array" ref="X59">IF(SUM(F59:J59,L59)=0, 0, SUM(F59:J59,L59)*(1+'Tillegg-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Y59" s="330" cm="1">
        <f t="array" ref="Y59">IF(X59=0, 0, SUM(K59,M59)*(1+'Tillegg-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Z59" s="336" cm="1">
        <f t="array" ref="Z59">IF(X59=0, 0, SUM(N59:P59)*(1+'Tillegg-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AA59" s="336" cm="1">
        <f t="array" ref="AA59">IF(X59=0, 0, ('Tillegg- Inndata GoF'!G57+'Tillegg- Inndata GoF'!O57+'Tillegg- Inndata GoF'!S57)*(1+'Tillegg- Inndata GoF'!K57)*Transport_utslipp_til_avfallshånderting_per_kg*IF('Tillegg- Inndata GoF'!H57&gt;50, 0, _xlfn.XLOOKUP('Tillegg- Inndata GoF'!H57, År_etter_ferdigstillelse, IF(VALUE(LEFT('Tillegg- Inndata GoF'!B57, 2))= 49, f_tid_x_f_tek_d_0_037_kumulativ, f_tid_x_f_tek_d_0_01_kumulativ))))</f>
        <v>0</v>
      </c>
      <c r="AB59" s="334" cm="1">
        <f t="array" ref="AB59">IF(X59=0, 0,1.833*'Tillegg- Inndata GoF'!J57*('Tillegg- Inndata GoF'!X57*_xlfn.XLOOKUP(IF('Tillegg- Inndata GoF'!I57&lt;2,'Tillegg- Inndata GoF'!H57,'Tillegg- Inndata GoF'!H57*2), År_etter_ferdigstillelse, Faktorer!$Z$7:$Z$58))*('Tillegg- Inndata GoF'!L57*0.5+'Tillegg- Inndata GoF'!M57*0.8)*_xlfn.XLOOKUP(IF('Tillegg- Inndata GoF'!I57&lt;2,'Tillegg- Inndata GoF'!H57,'Tillegg- Inndata GoF'!H57*2), År_etter_ferdigstillelse,  IF(LEFT('Tillegg- Inndata GoF'!B57, 2)= 49, f_tid_x_f_tek_d_0_037, f_tid_x_f_tek_d_0_01)))</f>
        <v>0</v>
      </c>
      <c r="AC59" s="335">
        <f>IF(('Tillegg- Inndata GoF'!G57) = 0, 0,(('Tillegg- Inndata GoF'!G57)*((AG59+AI59)*Transport_utslipp_til_avfallshånderting_per_kg)+('Tillegg- Inndata GoF'!Z57*'ZERO-B Beregning'!D159)*IF('ZERO-B Beregning'!F160=0,'ZERO-B Beregning'!D160,'ZERO-B Beregning'!F160))*_xlfn.XLOOKUP(51, År_etter_ferdigstillelse, f_tid_x_f_tek_d_0_01))</f>
        <v>0</v>
      </c>
      <c r="AD59" s="337">
        <f>IF(('Tillegg- Inndata GoF'!G57) = 0, 0,1.833*('Tillegg- Inndata GoF'!G57*('Tillegg- Inndata GoF'!L57*0.5+'Tillegg- Inndata GoF'!M57*0.8)*AG59*_xlfn.XLOOKUP(51, År_etter_ferdigstillelse,  f_tid_x_f_tek_d_0_01)))</f>
        <v>0</v>
      </c>
      <c r="AE59" s="333" cm="1">
        <f t="array" ref="AE59">IF(('Tillegg- Inndata GoF'!G57) = 0, 0,-0.8*('Tillegg- Inndata GoF'!G57)*AH59*('Tillegg- Inndata GoF'!E57/'Tillegg- Inndata GoF'!G57)*_xlfn.XLOOKUP(51, År_etter_ferdigstillelse,  IF(LEFT('Tillegg- Inndata GoF'!B57, 2)= 49, f_tid_x_f_tek_d_0_037, f_tid_x_f_tek_d_0_01)))</f>
        <v>0</v>
      </c>
      <c r="AF59" s="338" cm="1">
        <f t="array" ref="AF59">IF(('Tillegg- Inndata GoF'!G57) = 0, 0,-0.1*('Tillegg- Inndata GoF'!G57)*AI59*('Tillegg- Inndata GoF'!E57/'Tillegg- Inndata GoF'!G57)*_xlfn.XLOOKUP(51, År_etter_ferdigstillelse,  IF(LEFT('Tillegg- Inndata GoF'!B57, 2)= 49, f_tid_x_f_tek_d_0_037, f_tid_x_f_tek_d_0_01)))</f>
        <v>0</v>
      </c>
      <c r="AG59" s="572">
        <f>IF(('Tillegg- Inndata GoF'!G57) = 0, 0,'Tillegg- Inndata GoF'!X57*Faktorer!$Z$58)</f>
        <v>0</v>
      </c>
      <c r="AH59" s="573">
        <f>IF(('Tillegg- Inndata GoF'!G57) = 0, 0,'Tillegg- Inndata GoF'!Z57+('Tillegg- Inndata GoF'!X57+'Tillegg- Inndata GoF'!Y57)*(1-Faktorer!$Z$58)*0.5)</f>
        <v>0</v>
      </c>
      <c r="AI59" s="574">
        <f>IF(('Tillegg- Inndata GoF'!G57) = 0, 0,'Tillegg- Inndata GoF'!AA57+('Tillegg- Inndata GoF'!X57+'Tillegg- Inndata GoF'!Y57)*(1-Faktorer!$Z$58)*0.5)</f>
        <v>0</v>
      </c>
      <c r="AK59" s="90">
        <f t="shared" si="1"/>
        <v>0</v>
      </c>
      <c r="AL59" s="91">
        <f>'Tillegg- Res. detaljert GoF'!N59</f>
        <v>0</v>
      </c>
      <c r="AM59" s="91" t="str">
        <f>IF(F59=0,"",('Tillegg- Inndata GoF'!E59+'Tillegg- Inndata GoF'!F59)*ROUNDDOWN('Tillegg- Inndata GoF'!I59,0)*(1+'Tillegg- Inndata GoF'!K59))</f>
        <v/>
      </c>
    </row>
    <row r="60" spans="2:39">
      <c r="B60" s="327">
        <f>'Tillegg- Inndata GoF'!B58</f>
        <v>0</v>
      </c>
      <c r="C60" s="328">
        <f>'Tillegg- Inndata GoF'!C58</f>
        <v>0</v>
      </c>
      <c r="D60" s="329">
        <f>'Tillegg- Inndata GoF'!D58</f>
        <v>0</v>
      </c>
      <c r="E60" s="661" cm="1">
        <f t="array" ref="E60">SUM(IFERROR(F60:AF60,0))</f>
        <v>0</v>
      </c>
      <c r="F60" s="330">
        <f>'Tillegg- Inndata GoF'!E58</f>
        <v>0</v>
      </c>
      <c r="G60" s="330">
        <f>IF('Tillegg- Inndata GoF'!AB58="Ja", -0.8*'Tillegg- Res. detaljert GoF'!$F60, 0)</f>
        <v>0</v>
      </c>
      <c r="H60" s="330">
        <f>IF('Tillegg- Inndata GoF'!AC58="Ja", -0.4*'Tillegg- Res. detaljert GoF'!$F60, 0)</f>
        <v>0</v>
      </c>
      <c r="I60" s="330">
        <f>IF('Tillegg- Inndata GoF'!AD58="Ja", -1*'Tillegg- Res. detaljert GoF'!$F60, 0)</f>
        <v>0</v>
      </c>
      <c r="J60" s="330">
        <f>'Tillegg- Inndata GoF'!O58*'Tillegg- Inndata GoF'!P58</f>
        <v>0</v>
      </c>
      <c r="K60" s="330">
        <f>MAX(-0.75*(SUM('Tillegg- Res. detaljert GoF'!F60:J60)),-'Tillegg- Inndata GoF'!O58*'Tillegg- Inndata GoF'!Q58)</f>
        <v>0</v>
      </c>
      <c r="L60" s="330">
        <f>'Tillegg- Inndata GoF'!S58*'Tillegg- Inndata GoF'!T58</f>
        <v>0</v>
      </c>
      <c r="M60" s="330">
        <f>MAX(-0.75*(SUM('Tillegg- Res. detaljert GoF'!F60:I60,L60)),-'Tillegg- Inndata GoF'!S58*'Tillegg- Inndata GoF'!U58)</f>
        <v>0</v>
      </c>
      <c r="N60" s="331">
        <f>'Tillegg- Inndata GoF'!F58</f>
        <v>0</v>
      </c>
      <c r="O60" s="330">
        <f>'Tillegg- Inndata GoF'!O58*'Tillegg- Inndata GoF'!R58</f>
        <v>0</v>
      </c>
      <c r="P60" s="332">
        <f>'Tillegg- Inndata GoF'!S58*'Tillegg- Inndata GoF'!V58</f>
        <v>0</v>
      </c>
      <c r="Q60" s="333">
        <f>SUM(F60:J60,L60)*'Tillegg- Inndata GoF'!K58</f>
        <v>0</v>
      </c>
      <c r="R60" s="333">
        <f>(K60+M60)*'Tillegg- Inndata GoF'!K58</f>
        <v>0</v>
      </c>
      <c r="S60" s="333">
        <f>SUM(N60:P60)*'Tillegg- Inndata GoF'!K58</f>
        <v>0</v>
      </c>
      <c r="T60" s="334">
        <f>('Tillegg- Inndata GoF'!G58+'Tillegg- Inndata GoF'!O58+'Tillegg- Inndata GoF'!S58)*'Tillegg- Inndata GoF'!K58*Transport_utslipp_til_avfallshånderting_per_kg</f>
        <v>0</v>
      </c>
      <c r="U60" s="330">
        <f>IF('Tillegg- Inndata GoF'!E58 = 0, 0, 1.833*'Tillegg- Inndata GoF'!X58*'Tillegg- Inndata GoF'!K58*('Tillegg- Inndata GoF'!G58*('Tillegg- Inndata GoF'!L58*0.5+'Tillegg- Inndata GoF'!M58*0.8) + (12/44)*('Tillegg- Inndata GoF'!O58*'Tillegg- Inndata GoF'!Q58+'Tillegg- Inndata GoF'!S58*'Tillegg- Inndata GoF'!U58)))</f>
        <v>0</v>
      </c>
      <c r="V60" s="335">
        <f>IF('Tillegg- Inndata GoF'!G58 = 0, 0,  MAX(-SUM(F60:J60,L60)*'Tillegg- Inndata GoF'!L58, -0.114*IF('Tillegg- Inndata GoF'!H58 &gt; 49, _xlfn.XLOOKUP(49, År_etter_ferdigstillelse, karbon_opptak_faktor), _xlfn.XLOOKUP('Tillegg- Inndata GoF'!H58, År_etter_ferdigstillelse, karbon_opptak_faktor))*'Tillegg- Inndata GoF'!G58*'Tillegg- Inndata GoF'!L58*0.5))</f>
        <v>0</v>
      </c>
      <c r="W60" s="333">
        <f>IF('Tillegg- Inndata GoF'!G58=0,0,IF('Tillegg- Inndata GoF'!H58&gt;49,-0.064*'Tillegg- Inndata GoF'!G58*'Tillegg- Inndata GoF'!N58,-0.037*'Tillegg- Inndata GoF'!J58*'Tillegg- Inndata GoF'!N58))</f>
        <v>0</v>
      </c>
      <c r="X60" s="331" cm="1">
        <f t="array" ref="X60">IF(SUM(F60:J60,L60)=0, 0, SUM(F60:J60,L60)*(1+'Tillegg-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Y60" s="330" cm="1">
        <f t="array" ref="Y60">IF(X60=0, 0, SUM(K60,M60)*(1+'Tillegg-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Z60" s="336" cm="1">
        <f t="array" ref="Z60">IF(X60=0, 0, SUM(N60:P60)*(1+'Tillegg-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AA60" s="336" cm="1">
        <f t="array" ref="AA60">IF(X60=0, 0, ('Tillegg- Inndata GoF'!G58+'Tillegg- Inndata GoF'!O58+'Tillegg- Inndata GoF'!S58)*(1+'Tillegg- Inndata GoF'!K58)*Transport_utslipp_til_avfallshånderting_per_kg*IF('Tillegg- Inndata GoF'!H58&gt;50, 0, _xlfn.XLOOKUP('Tillegg- Inndata GoF'!H58, År_etter_ferdigstillelse, IF(VALUE(LEFT('Tillegg- Inndata GoF'!B58, 2))= 49, f_tid_x_f_tek_d_0_037_kumulativ, f_tid_x_f_tek_d_0_01_kumulativ))))</f>
        <v>0</v>
      </c>
      <c r="AB60" s="334" cm="1">
        <f t="array" ref="AB60">IF(X60=0, 0,1.833*'Tillegg- Inndata GoF'!J58*('Tillegg- Inndata GoF'!X58*_xlfn.XLOOKUP(IF('Tillegg- Inndata GoF'!I58&lt;2,'Tillegg- Inndata GoF'!H58,'Tillegg- Inndata GoF'!H58*2), År_etter_ferdigstillelse, Faktorer!$Z$7:$Z$58))*('Tillegg- Inndata GoF'!L58*0.5+'Tillegg- Inndata GoF'!M58*0.8)*_xlfn.XLOOKUP(IF('Tillegg- Inndata GoF'!I58&lt;2,'Tillegg- Inndata GoF'!H58,'Tillegg- Inndata GoF'!H58*2), År_etter_ferdigstillelse,  IF(LEFT('Tillegg- Inndata GoF'!B58, 2)= 49, f_tid_x_f_tek_d_0_037, f_tid_x_f_tek_d_0_01)))</f>
        <v>0</v>
      </c>
      <c r="AC60" s="335">
        <f>IF(('Tillegg- Inndata GoF'!G58) = 0, 0,(('Tillegg- Inndata GoF'!G58)*((AG60+AI60)*Transport_utslipp_til_avfallshånderting_per_kg)+('Tillegg- Inndata GoF'!Z58*'ZERO-B Beregning'!D160)*IF('ZERO-B Beregning'!F161=0,'ZERO-B Beregning'!D161,'ZERO-B Beregning'!F161))*_xlfn.XLOOKUP(51, År_etter_ferdigstillelse, f_tid_x_f_tek_d_0_01))</f>
        <v>0</v>
      </c>
      <c r="AD60" s="337">
        <f>IF(('Tillegg- Inndata GoF'!G58) = 0, 0,1.833*('Tillegg- Inndata GoF'!G58*('Tillegg- Inndata GoF'!L58*0.5+'Tillegg- Inndata GoF'!M58*0.8)*AG60*_xlfn.XLOOKUP(51, År_etter_ferdigstillelse,  f_tid_x_f_tek_d_0_01)))</f>
        <v>0</v>
      </c>
      <c r="AE60" s="333" cm="1">
        <f t="array" ref="AE60">IF(('Tillegg- Inndata GoF'!G58) = 0, 0,-0.8*('Tillegg- Inndata GoF'!G58)*AH60*('Tillegg- Inndata GoF'!E58/'Tillegg- Inndata GoF'!G58)*_xlfn.XLOOKUP(51, År_etter_ferdigstillelse,  IF(LEFT('Tillegg- Inndata GoF'!B58, 2)= 49, f_tid_x_f_tek_d_0_037, f_tid_x_f_tek_d_0_01)))</f>
        <v>0</v>
      </c>
      <c r="AF60" s="338" cm="1">
        <f t="array" ref="AF60">IF(('Tillegg- Inndata GoF'!G58) = 0, 0,-0.1*('Tillegg- Inndata GoF'!G58)*AI60*('Tillegg- Inndata GoF'!E58/'Tillegg- Inndata GoF'!G58)*_xlfn.XLOOKUP(51, År_etter_ferdigstillelse,  IF(LEFT('Tillegg- Inndata GoF'!B58, 2)= 49, f_tid_x_f_tek_d_0_037, f_tid_x_f_tek_d_0_01)))</f>
        <v>0</v>
      </c>
      <c r="AG60" s="572">
        <f>IF(('Tillegg- Inndata GoF'!G58) = 0, 0,'Tillegg- Inndata GoF'!X58*Faktorer!$Z$58)</f>
        <v>0</v>
      </c>
      <c r="AH60" s="573">
        <f>IF(('Tillegg- Inndata GoF'!G58) = 0, 0,'Tillegg- Inndata GoF'!Z58+('Tillegg- Inndata GoF'!X58+'Tillegg- Inndata GoF'!Y58)*(1-Faktorer!$Z$58)*0.5)</f>
        <v>0</v>
      </c>
      <c r="AI60" s="574">
        <f>IF(('Tillegg- Inndata GoF'!G58) = 0, 0,'Tillegg- Inndata GoF'!AA58+('Tillegg- Inndata GoF'!X58+'Tillegg- Inndata GoF'!Y58)*(1-Faktorer!$Z$58)*0.5)</f>
        <v>0</v>
      </c>
      <c r="AK60" s="90">
        <f t="shared" si="1"/>
        <v>0</v>
      </c>
      <c r="AL60" s="91">
        <f>'Tillegg- Res. detaljert GoF'!N60</f>
        <v>0</v>
      </c>
      <c r="AM60" s="91" t="str">
        <f>IF(F60=0,"",('Tillegg- Inndata GoF'!E60+'Tillegg- Inndata GoF'!F60)*ROUNDDOWN('Tillegg- Inndata GoF'!I60,0)*(1+'Tillegg- Inndata GoF'!K60))</f>
        <v/>
      </c>
    </row>
    <row r="61" spans="2:39">
      <c r="B61" s="327">
        <f>'Tillegg- Inndata GoF'!B59</f>
        <v>0</v>
      </c>
      <c r="C61" s="328">
        <f>'Tillegg- Inndata GoF'!C59</f>
        <v>0</v>
      </c>
      <c r="D61" s="329">
        <f>'Tillegg- Inndata GoF'!D59</f>
        <v>0</v>
      </c>
      <c r="E61" s="661" cm="1">
        <f t="array" ref="E61">SUM(IFERROR(F61:AF61,0))</f>
        <v>0</v>
      </c>
      <c r="F61" s="330">
        <f>'Tillegg- Inndata GoF'!E59</f>
        <v>0</v>
      </c>
      <c r="G61" s="330">
        <f>IF('Tillegg- Inndata GoF'!AB59="Ja", -0.8*'Tillegg- Res. detaljert GoF'!$F61, 0)</f>
        <v>0</v>
      </c>
      <c r="H61" s="330">
        <f>IF('Tillegg- Inndata GoF'!AC59="Ja", -0.4*'Tillegg- Res. detaljert GoF'!$F61, 0)</f>
        <v>0</v>
      </c>
      <c r="I61" s="330">
        <f>IF('Tillegg- Inndata GoF'!AD59="Ja", -1*'Tillegg- Res. detaljert GoF'!$F61, 0)</f>
        <v>0</v>
      </c>
      <c r="J61" s="330">
        <f>'Tillegg- Inndata GoF'!O59*'Tillegg- Inndata GoF'!P59</f>
        <v>0</v>
      </c>
      <c r="K61" s="330">
        <f>MAX(-0.75*(SUM('Tillegg- Res. detaljert GoF'!F61:J61)),-'Tillegg- Inndata GoF'!O59*'Tillegg- Inndata GoF'!Q59)</f>
        <v>0</v>
      </c>
      <c r="L61" s="330">
        <f>'Tillegg- Inndata GoF'!S59*'Tillegg- Inndata GoF'!T59</f>
        <v>0</v>
      </c>
      <c r="M61" s="330">
        <f>MAX(-0.75*(SUM('Tillegg- Res. detaljert GoF'!F61:I61,L61)),-'Tillegg- Inndata GoF'!S59*'Tillegg- Inndata GoF'!U59)</f>
        <v>0</v>
      </c>
      <c r="N61" s="331">
        <f>'Tillegg- Inndata GoF'!F59</f>
        <v>0</v>
      </c>
      <c r="O61" s="330">
        <f>'Tillegg- Inndata GoF'!O59*'Tillegg- Inndata GoF'!R59</f>
        <v>0</v>
      </c>
      <c r="P61" s="332">
        <f>'Tillegg- Inndata GoF'!S59*'Tillegg- Inndata GoF'!V59</f>
        <v>0</v>
      </c>
      <c r="Q61" s="333">
        <f>SUM(F61:J61,L61)*'Tillegg- Inndata GoF'!K59</f>
        <v>0</v>
      </c>
      <c r="R61" s="333">
        <f>(K61+M61)*'Tillegg- Inndata GoF'!K59</f>
        <v>0</v>
      </c>
      <c r="S61" s="333">
        <f>SUM(N61:P61)*'Tillegg- Inndata GoF'!K59</f>
        <v>0</v>
      </c>
      <c r="T61" s="334">
        <f>('Tillegg- Inndata GoF'!G59+'Tillegg- Inndata GoF'!O59+'Tillegg- Inndata GoF'!S59)*'Tillegg- Inndata GoF'!K59*Transport_utslipp_til_avfallshånderting_per_kg</f>
        <v>0</v>
      </c>
      <c r="U61" s="330">
        <f>IF('Tillegg- Inndata GoF'!E59 = 0, 0, 1.833*'Tillegg- Inndata GoF'!X59*'Tillegg- Inndata GoF'!K59*('Tillegg- Inndata GoF'!G59*('Tillegg- Inndata GoF'!L59*0.5+'Tillegg- Inndata GoF'!M59*0.8) + (12/44)*('Tillegg- Inndata GoF'!O59*'Tillegg- Inndata GoF'!Q59+'Tillegg- Inndata GoF'!S59*'Tillegg- Inndata GoF'!U59)))</f>
        <v>0</v>
      </c>
      <c r="V61" s="335">
        <f>IF('Tillegg- Inndata GoF'!G59 = 0, 0,  MAX(-SUM(F61:J61,L61)*'Tillegg- Inndata GoF'!L59, -0.114*IF('Tillegg- Inndata GoF'!H59 &gt; 49, _xlfn.XLOOKUP(49, År_etter_ferdigstillelse, karbon_opptak_faktor), _xlfn.XLOOKUP('Tillegg- Inndata GoF'!H59, År_etter_ferdigstillelse, karbon_opptak_faktor))*'Tillegg- Inndata GoF'!G59*'Tillegg- Inndata GoF'!L59*0.5))</f>
        <v>0</v>
      </c>
      <c r="W61" s="333">
        <f>IF('Tillegg- Inndata GoF'!G59=0,0,IF('Tillegg- Inndata GoF'!H59&gt;49,-0.064*'Tillegg- Inndata GoF'!G59*'Tillegg- Inndata GoF'!N59,-0.037*'Tillegg- Inndata GoF'!J59*'Tillegg- Inndata GoF'!N59))</f>
        <v>0</v>
      </c>
      <c r="X61" s="331" cm="1">
        <f t="array" ref="X61">IF(SUM(F61:J61,L61)=0, 0, SUM(F61:J61,L61)*(1+'Tillegg-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Y61" s="330" cm="1">
        <f t="array" ref="Y61">IF(X61=0, 0, SUM(K61,M61)*(1+'Tillegg-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Z61" s="336" cm="1">
        <f t="array" ref="Z61">IF(X61=0, 0, SUM(N61:P61)*(1+'Tillegg-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AA61" s="336" cm="1">
        <f t="array" ref="AA61">IF(X61=0, 0, ('Tillegg- Inndata GoF'!G59+'Tillegg- Inndata GoF'!O59+'Tillegg- Inndata GoF'!S59)*(1+'Tillegg- Inndata GoF'!K59)*Transport_utslipp_til_avfallshånderting_per_kg*IF('Tillegg- Inndata GoF'!H59&gt;50, 0, _xlfn.XLOOKUP('Tillegg- Inndata GoF'!H59, År_etter_ferdigstillelse, IF(VALUE(LEFT('Tillegg- Inndata GoF'!B59, 2))= 49, f_tid_x_f_tek_d_0_037_kumulativ, f_tid_x_f_tek_d_0_01_kumulativ))))</f>
        <v>0</v>
      </c>
      <c r="AB61" s="334" cm="1">
        <f t="array" ref="AB61">IF(X61=0, 0,1.833*'Tillegg- Inndata GoF'!J59*('Tillegg- Inndata GoF'!X59*_xlfn.XLOOKUP(IF('Tillegg- Inndata GoF'!I59&lt;2,'Tillegg- Inndata GoF'!H59,'Tillegg- Inndata GoF'!H59*2), År_etter_ferdigstillelse, Faktorer!$Z$7:$Z$58))*('Tillegg- Inndata GoF'!L59*0.5+'Tillegg- Inndata GoF'!M59*0.8)*_xlfn.XLOOKUP(IF('Tillegg- Inndata GoF'!I59&lt;2,'Tillegg- Inndata GoF'!H59,'Tillegg- Inndata GoF'!H59*2), År_etter_ferdigstillelse,  IF(LEFT('Tillegg- Inndata GoF'!B59, 2)= 49, f_tid_x_f_tek_d_0_037, f_tid_x_f_tek_d_0_01)))</f>
        <v>0</v>
      </c>
      <c r="AC61" s="335">
        <f>IF(('Tillegg- Inndata GoF'!G59) = 0, 0,(('Tillegg- Inndata GoF'!G59)*((AG61+AI61)*Transport_utslipp_til_avfallshånderting_per_kg)+('Tillegg- Inndata GoF'!Z59*'ZERO-B Beregning'!D161)*IF('ZERO-B Beregning'!F162=0,'ZERO-B Beregning'!D162,'ZERO-B Beregning'!F162))*_xlfn.XLOOKUP(51, År_etter_ferdigstillelse, f_tid_x_f_tek_d_0_01))</f>
        <v>0</v>
      </c>
      <c r="AD61" s="337">
        <f>IF(('Tillegg- Inndata GoF'!G59) = 0, 0,1.833*('Tillegg- Inndata GoF'!G59*('Tillegg- Inndata GoF'!L59*0.5+'Tillegg- Inndata GoF'!M59*0.8)*AG61*_xlfn.XLOOKUP(51, År_etter_ferdigstillelse,  f_tid_x_f_tek_d_0_01)))</f>
        <v>0</v>
      </c>
      <c r="AE61" s="333" cm="1">
        <f t="array" ref="AE61">IF(('Tillegg- Inndata GoF'!G59) = 0, 0,-0.8*('Tillegg- Inndata GoF'!G59)*AH61*('Tillegg- Inndata GoF'!E59/'Tillegg- Inndata GoF'!G59)*_xlfn.XLOOKUP(51, År_etter_ferdigstillelse,  IF(LEFT('Tillegg- Inndata GoF'!B59, 2)= 49, f_tid_x_f_tek_d_0_037, f_tid_x_f_tek_d_0_01)))</f>
        <v>0</v>
      </c>
      <c r="AF61" s="338" cm="1">
        <f t="array" ref="AF61">IF(('Tillegg- Inndata GoF'!G59) = 0, 0,-0.1*('Tillegg- Inndata GoF'!G59)*AI61*('Tillegg- Inndata GoF'!E59/'Tillegg- Inndata GoF'!G59)*_xlfn.XLOOKUP(51, År_etter_ferdigstillelse,  IF(LEFT('Tillegg- Inndata GoF'!B59, 2)= 49, f_tid_x_f_tek_d_0_037, f_tid_x_f_tek_d_0_01)))</f>
        <v>0</v>
      </c>
      <c r="AG61" s="572">
        <f>IF(('Tillegg- Inndata GoF'!G59) = 0, 0,'Tillegg- Inndata GoF'!X59*Faktorer!$Z$58)</f>
        <v>0</v>
      </c>
      <c r="AH61" s="573">
        <f>IF(('Tillegg- Inndata GoF'!G59) = 0, 0,'Tillegg- Inndata GoF'!Z59+('Tillegg- Inndata GoF'!X59+'Tillegg- Inndata GoF'!Y59)*(1-Faktorer!$Z$58)*0.5)</f>
        <v>0</v>
      </c>
      <c r="AI61" s="574">
        <f>IF(('Tillegg- Inndata GoF'!G59) = 0, 0,'Tillegg- Inndata GoF'!AA59+('Tillegg- Inndata GoF'!X59+'Tillegg- Inndata GoF'!Y59)*(1-Faktorer!$Z$58)*0.5)</f>
        <v>0</v>
      </c>
      <c r="AK61" s="90">
        <f t="shared" si="1"/>
        <v>0</v>
      </c>
      <c r="AL61" s="91">
        <f>'Tillegg- Res. detaljert GoF'!N61</f>
        <v>0</v>
      </c>
      <c r="AM61" s="91" t="str">
        <f>IF(F61=0,"",('Tillegg- Inndata GoF'!E61+'Tillegg- Inndata GoF'!F61)*ROUNDDOWN('Tillegg- Inndata GoF'!I61,0)*(1+'Tillegg- Inndata GoF'!K61))</f>
        <v/>
      </c>
    </row>
    <row r="62" spans="2:39">
      <c r="B62" s="327">
        <f>'Tillegg- Inndata GoF'!B60</f>
        <v>0</v>
      </c>
      <c r="C62" s="328">
        <f>'Tillegg- Inndata GoF'!C60</f>
        <v>0</v>
      </c>
      <c r="D62" s="329">
        <f>'Tillegg- Inndata GoF'!D60</f>
        <v>0</v>
      </c>
      <c r="E62" s="661" cm="1">
        <f t="array" ref="E62">SUM(IFERROR(F62:AF62,0))</f>
        <v>0</v>
      </c>
      <c r="F62" s="330">
        <f>'Tillegg- Inndata GoF'!E60</f>
        <v>0</v>
      </c>
      <c r="G62" s="330">
        <f>IF('Tillegg- Inndata GoF'!AB60="Ja", -0.8*'Tillegg- Res. detaljert GoF'!$F62, 0)</f>
        <v>0</v>
      </c>
      <c r="H62" s="330">
        <f>IF('Tillegg- Inndata GoF'!AC60="Ja", -0.4*'Tillegg- Res. detaljert GoF'!$F62, 0)</f>
        <v>0</v>
      </c>
      <c r="I62" s="330">
        <f>IF('Tillegg- Inndata GoF'!AD60="Ja", -1*'Tillegg- Res. detaljert GoF'!$F62, 0)</f>
        <v>0</v>
      </c>
      <c r="J62" s="330">
        <f>'Tillegg- Inndata GoF'!O60*'Tillegg- Inndata GoF'!P60</f>
        <v>0</v>
      </c>
      <c r="K62" s="330">
        <f>MAX(-0.75*(SUM('Tillegg- Res. detaljert GoF'!F62:J62)),-'Tillegg- Inndata GoF'!O60*'Tillegg- Inndata GoF'!Q60)</f>
        <v>0</v>
      </c>
      <c r="L62" s="330">
        <f>'Tillegg- Inndata GoF'!S60*'Tillegg- Inndata GoF'!T60</f>
        <v>0</v>
      </c>
      <c r="M62" s="330">
        <f>MAX(-0.75*(SUM('Tillegg- Res. detaljert GoF'!F62:I62,L62)),-'Tillegg- Inndata GoF'!S60*'Tillegg- Inndata GoF'!U60)</f>
        <v>0</v>
      </c>
      <c r="N62" s="331">
        <f>'Tillegg- Inndata GoF'!F60</f>
        <v>0</v>
      </c>
      <c r="O62" s="330">
        <f>'Tillegg- Inndata GoF'!O60*'Tillegg- Inndata GoF'!R60</f>
        <v>0</v>
      </c>
      <c r="P62" s="332">
        <f>'Tillegg- Inndata GoF'!S60*'Tillegg- Inndata GoF'!V60</f>
        <v>0</v>
      </c>
      <c r="Q62" s="333">
        <f>SUM(F62:J62,L62)*'Tillegg- Inndata GoF'!K60</f>
        <v>0</v>
      </c>
      <c r="R62" s="333">
        <f>(K62+M62)*'Tillegg- Inndata GoF'!K60</f>
        <v>0</v>
      </c>
      <c r="S62" s="333">
        <f>SUM(N62:P62)*'Tillegg- Inndata GoF'!K60</f>
        <v>0</v>
      </c>
      <c r="T62" s="334">
        <f>('Tillegg- Inndata GoF'!G60+'Tillegg- Inndata GoF'!O60+'Tillegg- Inndata GoF'!S60)*'Tillegg- Inndata GoF'!K60*Transport_utslipp_til_avfallshånderting_per_kg</f>
        <v>0</v>
      </c>
      <c r="U62" s="330">
        <f>IF('Tillegg- Inndata GoF'!E60 = 0, 0, 1.833*'Tillegg- Inndata GoF'!X60*'Tillegg- Inndata GoF'!K60*('Tillegg- Inndata GoF'!G60*('Tillegg- Inndata GoF'!L60*0.5+'Tillegg- Inndata GoF'!M60*0.8) + (12/44)*('Tillegg- Inndata GoF'!O60*'Tillegg- Inndata GoF'!Q60+'Tillegg- Inndata GoF'!S60*'Tillegg- Inndata GoF'!U60)))</f>
        <v>0</v>
      </c>
      <c r="V62" s="335">
        <f>IF('Tillegg- Inndata GoF'!G60 = 0, 0,  MAX(-SUM(F62:J62,L62)*'Tillegg- Inndata GoF'!L60, -0.114*IF('Tillegg- Inndata GoF'!H60 &gt; 49, _xlfn.XLOOKUP(49, År_etter_ferdigstillelse, karbon_opptak_faktor), _xlfn.XLOOKUP('Tillegg- Inndata GoF'!H60, År_etter_ferdigstillelse, karbon_opptak_faktor))*'Tillegg- Inndata GoF'!G60*'Tillegg- Inndata GoF'!L60*0.5))</f>
        <v>0</v>
      </c>
      <c r="W62" s="333">
        <f>IF('Tillegg- Inndata GoF'!G60=0,0,IF('Tillegg- Inndata GoF'!H60&gt;49,-0.064*'Tillegg- Inndata GoF'!G60*'Tillegg- Inndata GoF'!N60,-0.037*'Tillegg- Inndata GoF'!J60*'Tillegg- Inndata GoF'!N60))</f>
        <v>0</v>
      </c>
      <c r="X62" s="331" cm="1">
        <f t="array" ref="X62">IF(SUM(F62:J62,L62)=0, 0, SUM(F62:J62,L62)*(1+'Tillegg-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Y62" s="330" cm="1">
        <f t="array" ref="Y62">IF(X62=0, 0, SUM(K62,M62)*(1+'Tillegg-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Z62" s="336" cm="1">
        <f t="array" ref="Z62">IF(X62=0, 0, SUM(N62:P62)*(1+'Tillegg-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AA62" s="336" cm="1">
        <f t="array" ref="AA62">IF(X62=0, 0, ('Tillegg- Inndata GoF'!G60+'Tillegg- Inndata GoF'!O60+'Tillegg- Inndata GoF'!S60)*(1+'Tillegg- Inndata GoF'!K60)*Transport_utslipp_til_avfallshånderting_per_kg*IF('Tillegg- Inndata GoF'!H60&gt;50, 0, _xlfn.XLOOKUP('Tillegg- Inndata GoF'!H60, År_etter_ferdigstillelse, IF(VALUE(LEFT('Tillegg- Inndata GoF'!B60, 2))= 49, f_tid_x_f_tek_d_0_037_kumulativ, f_tid_x_f_tek_d_0_01_kumulativ))))</f>
        <v>0</v>
      </c>
      <c r="AB62" s="334" cm="1">
        <f t="array" ref="AB62">IF(X62=0, 0,1.833*'Tillegg- Inndata GoF'!J60*('Tillegg- Inndata GoF'!X60*_xlfn.XLOOKUP(IF('Tillegg- Inndata GoF'!I60&lt;2,'Tillegg- Inndata GoF'!H60,'Tillegg- Inndata GoF'!H60*2), År_etter_ferdigstillelse, Faktorer!$Z$7:$Z$58))*('Tillegg- Inndata GoF'!L60*0.5+'Tillegg- Inndata GoF'!M60*0.8)*_xlfn.XLOOKUP(IF('Tillegg- Inndata GoF'!I60&lt;2,'Tillegg- Inndata GoF'!H60,'Tillegg- Inndata GoF'!H60*2), År_etter_ferdigstillelse,  IF(LEFT('Tillegg- Inndata GoF'!B60, 2)= 49, f_tid_x_f_tek_d_0_037, f_tid_x_f_tek_d_0_01)))</f>
        <v>0</v>
      </c>
      <c r="AC62" s="335">
        <f>IF(('Tillegg- Inndata GoF'!G60) = 0, 0,(('Tillegg- Inndata GoF'!G60)*((AG62+AI62)*Transport_utslipp_til_avfallshånderting_per_kg)+('Tillegg- Inndata GoF'!Z60*'ZERO-B Beregning'!D162)*IF('ZERO-B Beregning'!F163=0,'ZERO-B Beregning'!D163,'ZERO-B Beregning'!F163))*_xlfn.XLOOKUP(51, År_etter_ferdigstillelse, f_tid_x_f_tek_d_0_01))</f>
        <v>0</v>
      </c>
      <c r="AD62" s="337">
        <f>IF(('Tillegg- Inndata GoF'!G60) = 0, 0,1.833*('Tillegg- Inndata GoF'!G60*('Tillegg- Inndata GoF'!L60*0.5+'Tillegg- Inndata GoF'!M60*0.8)*AG62*_xlfn.XLOOKUP(51, År_etter_ferdigstillelse,  f_tid_x_f_tek_d_0_01)))</f>
        <v>0</v>
      </c>
      <c r="AE62" s="333" cm="1">
        <f t="array" ref="AE62">IF(('Tillegg- Inndata GoF'!G60) = 0, 0,-0.8*('Tillegg- Inndata GoF'!G60)*AH62*('Tillegg- Inndata GoF'!E60/'Tillegg- Inndata GoF'!G60)*_xlfn.XLOOKUP(51, År_etter_ferdigstillelse,  IF(LEFT('Tillegg- Inndata GoF'!B60, 2)= 49, f_tid_x_f_tek_d_0_037, f_tid_x_f_tek_d_0_01)))</f>
        <v>0</v>
      </c>
      <c r="AF62" s="338" cm="1">
        <f t="array" ref="AF62">IF(('Tillegg- Inndata GoF'!G60) = 0, 0,-0.1*('Tillegg- Inndata GoF'!G60)*AI62*('Tillegg- Inndata GoF'!E60/'Tillegg- Inndata GoF'!G60)*_xlfn.XLOOKUP(51, År_etter_ferdigstillelse,  IF(LEFT('Tillegg- Inndata GoF'!B60, 2)= 49, f_tid_x_f_tek_d_0_037, f_tid_x_f_tek_d_0_01)))</f>
        <v>0</v>
      </c>
      <c r="AG62" s="572">
        <f>IF(('Tillegg- Inndata GoF'!G60) = 0, 0,'Tillegg- Inndata GoF'!X60*Faktorer!$Z$58)</f>
        <v>0</v>
      </c>
      <c r="AH62" s="573">
        <f>IF(('Tillegg- Inndata GoF'!G60) = 0, 0,'Tillegg- Inndata GoF'!Z60+('Tillegg- Inndata GoF'!X60+'Tillegg- Inndata GoF'!Y60)*(1-Faktorer!$Z$58)*0.5)</f>
        <v>0</v>
      </c>
      <c r="AI62" s="574">
        <f>IF(('Tillegg- Inndata GoF'!G60) = 0, 0,'Tillegg- Inndata GoF'!AA60+('Tillegg- Inndata GoF'!X60+'Tillegg- Inndata GoF'!Y60)*(1-Faktorer!$Z$58)*0.5)</f>
        <v>0</v>
      </c>
      <c r="AK62" s="90">
        <f t="shared" si="1"/>
        <v>0</v>
      </c>
      <c r="AL62" s="91">
        <f>'Tillegg- Res. detaljert GoF'!N62</f>
        <v>0</v>
      </c>
      <c r="AM62" s="91" t="str">
        <f>IF(F62=0,"",('Tillegg- Inndata GoF'!E62+'Tillegg- Inndata GoF'!F62)*ROUNDDOWN('Tillegg- Inndata GoF'!I62,0)*(1+'Tillegg- Inndata GoF'!K62))</f>
        <v/>
      </c>
    </row>
    <row r="63" spans="2:39">
      <c r="B63" s="327">
        <f>'Tillegg- Inndata GoF'!B61</f>
        <v>0</v>
      </c>
      <c r="C63" s="328">
        <f>'Tillegg- Inndata GoF'!C61</f>
        <v>0</v>
      </c>
      <c r="D63" s="329">
        <f>'Tillegg- Inndata GoF'!D61</f>
        <v>0</v>
      </c>
      <c r="E63" s="661" cm="1">
        <f t="array" ref="E63">SUM(IFERROR(F63:AF63,0))</f>
        <v>0</v>
      </c>
      <c r="F63" s="330">
        <f>'Tillegg- Inndata GoF'!E61</f>
        <v>0</v>
      </c>
      <c r="G63" s="330">
        <f>IF('Tillegg- Inndata GoF'!AB61="Ja", -0.8*'Tillegg- Res. detaljert GoF'!$F63, 0)</f>
        <v>0</v>
      </c>
      <c r="H63" s="330">
        <f>IF('Tillegg- Inndata GoF'!AC61="Ja", -0.4*'Tillegg- Res. detaljert GoF'!$F63, 0)</f>
        <v>0</v>
      </c>
      <c r="I63" s="330">
        <f>IF('Tillegg- Inndata GoF'!AD61="Ja", -1*'Tillegg- Res. detaljert GoF'!$F63, 0)</f>
        <v>0</v>
      </c>
      <c r="J63" s="330">
        <f>'Tillegg- Inndata GoF'!O61*'Tillegg- Inndata GoF'!P61</f>
        <v>0</v>
      </c>
      <c r="K63" s="330">
        <f>MAX(-0.75*(SUM('Tillegg- Res. detaljert GoF'!F63:J63)),-'Tillegg- Inndata GoF'!O61*'Tillegg- Inndata GoF'!Q61)</f>
        <v>0</v>
      </c>
      <c r="L63" s="330">
        <f>'Tillegg- Inndata GoF'!S61*'Tillegg- Inndata GoF'!T61</f>
        <v>0</v>
      </c>
      <c r="M63" s="330">
        <f>MAX(-0.75*(SUM('Tillegg- Res. detaljert GoF'!F63:I63,L63)),-'Tillegg- Inndata GoF'!S61*'Tillegg- Inndata GoF'!U61)</f>
        <v>0</v>
      </c>
      <c r="N63" s="331">
        <f>'Tillegg- Inndata GoF'!F61</f>
        <v>0</v>
      </c>
      <c r="O63" s="330">
        <f>'Tillegg- Inndata GoF'!O61*'Tillegg- Inndata GoF'!R61</f>
        <v>0</v>
      </c>
      <c r="P63" s="332">
        <f>'Tillegg- Inndata GoF'!S61*'Tillegg- Inndata GoF'!V61</f>
        <v>0</v>
      </c>
      <c r="Q63" s="333">
        <f>SUM(F63:J63,L63)*'Tillegg- Inndata GoF'!K61</f>
        <v>0</v>
      </c>
      <c r="R63" s="333">
        <f>(K63+M63)*'Tillegg- Inndata GoF'!K61</f>
        <v>0</v>
      </c>
      <c r="S63" s="333">
        <f>SUM(N63:P63)*'Tillegg- Inndata GoF'!K61</f>
        <v>0</v>
      </c>
      <c r="T63" s="334">
        <f>('Tillegg- Inndata GoF'!G61+'Tillegg- Inndata GoF'!O61+'Tillegg- Inndata GoF'!S61)*'Tillegg- Inndata GoF'!K61*Transport_utslipp_til_avfallshånderting_per_kg</f>
        <v>0</v>
      </c>
      <c r="U63" s="330">
        <f>IF('Tillegg- Inndata GoF'!E61 = 0, 0, 1.833*'Tillegg- Inndata GoF'!X61*'Tillegg- Inndata GoF'!K61*('Tillegg- Inndata GoF'!G61*('Tillegg- Inndata GoF'!L61*0.5+'Tillegg- Inndata GoF'!M61*0.8) + (12/44)*('Tillegg- Inndata GoF'!O61*'Tillegg- Inndata GoF'!Q61+'Tillegg- Inndata GoF'!S61*'Tillegg- Inndata GoF'!U61)))</f>
        <v>0</v>
      </c>
      <c r="V63" s="335">
        <f>IF('Tillegg- Inndata GoF'!G61 = 0, 0,  MAX(-SUM(F63:J63,L63)*'Tillegg- Inndata GoF'!L61, -0.114*IF('Tillegg- Inndata GoF'!H61 &gt; 49, _xlfn.XLOOKUP(49, År_etter_ferdigstillelse, karbon_opptak_faktor), _xlfn.XLOOKUP('Tillegg- Inndata GoF'!H61, År_etter_ferdigstillelse, karbon_opptak_faktor))*'Tillegg- Inndata GoF'!G61*'Tillegg- Inndata GoF'!L61*0.5))</f>
        <v>0</v>
      </c>
      <c r="W63" s="333">
        <f>IF('Tillegg- Inndata GoF'!G61=0,0,IF('Tillegg- Inndata GoF'!H61&gt;49,-0.064*'Tillegg- Inndata GoF'!G61*'Tillegg- Inndata GoF'!N61,-0.037*'Tillegg- Inndata GoF'!J61*'Tillegg- Inndata GoF'!N61))</f>
        <v>0</v>
      </c>
      <c r="X63" s="331" cm="1">
        <f t="array" ref="X63">IF(SUM(F63:J63,L63)=0, 0, SUM(F63:J63,L63)*(1+'Tillegg-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Y63" s="330" cm="1">
        <f t="array" ref="Y63">IF(X63=0, 0, SUM(K63,M63)*(1+'Tillegg-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Z63" s="336" cm="1">
        <f t="array" ref="Z63">IF(X63=0, 0, SUM(N63:P63)*(1+'Tillegg-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AA63" s="336" cm="1">
        <f t="array" ref="AA63">IF(X63=0, 0, ('Tillegg- Inndata GoF'!G61+'Tillegg- Inndata GoF'!O61+'Tillegg- Inndata GoF'!S61)*(1+'Tillegg- Inndata GoF'!K61)*Transport_utslipp_til_avfallshånderting_per_kg*IF('Tillegg- Inndata GoF'!H61&gt;50, 0, _xlfn.XLOOKUP('Tillegg- Inndata GoF'!H61, År_etter_ferdigstillelse, IF(VALUE(LEFT('Tillegg- Inndata GoF'!B61, 2))= 49, f_tid_x_f_tek_d_0_037_kumulativ, f_tid_x_f_tek_d_0_01_kumulativ))))</f>
        <v>0</v>
      </c>
      <c r="AB63" s="334" cm="1">
        <f t="array" ref="AB63">IF(X63=0, 0,1.833*'Tillegg- Inndata GoF'!J61*('Tillegg- Inndata GoF'!X61*_xlfn.XLOOKUP(IF('Tillegg- Inndata GoF'!I61&lt;2,'Tillegg- Inndata GoF'!H61,'Tillegg- Inndata GoF'!H61*2), År_etter_ferdigstillelse, Faktorer!$Z$7:$Z$58))*('Tillegg- Inndata GoF'!L61*0.5+'Tillegg- Inndata GoF'!M61*0.8)*_xlfn.XLOOKUP(IF('Tillegg- Inndata GoF'!I61&lt;2,'Tillegg- Inndata GoF'!H61,'Tillegg- Inndata GoF'!H61*2), År_etter_ferdigstillelse,  IF(LEFT('Tillegg- Inndata GoF'!B61, 2)= 49, f_tid_x_f_tek_d_0_037, f_tid_x_f_tek_d_0_01)))</f>
        <v>0</v>
      </c>
      <c r="AC63" s="335">
        <f>IF(('Tillegg- Inndata GoF'!G61) = 0, 0,(('Tillegg- Inndata GoF'!G61)*((AG63+AI63)*Transport_utslipp_til_avfallshånderting_per_kg)+('Tillegg- Inndata GoF'!Z61*'ZERO-B Beregning'!D163)*IF('ZERO-B Beregning'!F164=0,'ZERO-B Beregning'!D164,'ZERO-B Beregning'!F164))*_xlfn.XLOOKUP(51, År_etter_ferdigstillelse, f_tid_x_f_tek_d_0_01))</f>
        <v>0</v>
      </c>
      <c r="AD63" s="337">
        <f>IF(('Tillegg- Inndata GoF'!G61) = 0, 0,1.833*('Tillegg- Inndata GoF'!G61*('Tillegg- Inndata GoF'!L61*0.5+'Tillegg- Inndata GoF'!M61*0.8)*AG63*_xlfn.XLOOKUP(51, År_etter_ferdigstillelse,  f_tid_x_f_tek_d_0_01)))</f>
        <v>0</v>
      </c>
      <c r="AE63" s="333" cm="1">
        <f t="array" ref="AE63">IF(('Tillegg- Inndata GoF'!G61) = 0, 0,-0.8*('Tillegg- Inndata GoF'!G61)*AH63*('Tillegg- Inndata GoF'!E61/'Tillegg- Inndata GoF'!G61)*_xlfn.XLOOKUP(51, År_etter_ferdigstillelse,  IF(LEFT('Tillegg- Inndata GoF'!B61, 2)= 49, f_tid_x_f_tek_d_0_037, f_tid_x_f_tek_d_0_01)))</f>
        <v>0</v>
      </c>
      <c r="AF63" s="338" cm="1">
        <f t="array" ref="AF63">IF(('Tillegg- Inndata GoF'!G61) = 0, 0,-0.1*('Tillegg- Inndata GoF'!G61)*AI63*('Tillegg- Inndata GoF'!E61/'Tillegg- Inndata GoF'!G61)*_xlfn.XLOOKUP(51, År_etter_ferdigstillelse,  IF(LEFT('Tillegg- Inndata GoF'!B61, 2)= 49, f_tid_x_f_tek_d_0_037, f_tid_x_f_tek_d_0_01)))</f>
        <v>0</v>
      </c>
      <c r="AG63" s="572">
        <f>IF(('Tillegg- Inndata GoF'!G61) = 0, 0,'Tillegg- Inndata GoF'!X61*Faktorer!$Z$58)</f>
        <v>0</v>
      </c>
      <c r="AH63" s="573">
        <f>IF(('Tillegg- Inndata GoF'!G61) = 0, 0,'Tillegg- Inndata GoF'!Z61+('Tillegg- Inndata GoF'!X61+'Tillegg- Inndata GoF'!Y61)*(1-Faktorer!$Z$58)*0.5)</f>
        <v>0</v>
      </c>
      <c r="AI63" s="574">
        <f>IF(('Tillegg- Inndata GoF'!G61) = 0, 0,'Tillegg- Inndata GoF'!AA61+('Tillegg- Inndata GoF'!X61+'Tillegg- Inndata GoF'!Y61)*(1-Faktorer!$Z$58)*0.5)</f>
        <v>0</v>
      </c>
      <c r="AK63" s="90">
        <f t="shared" si="1"/>
        <v>0</v>
      </c>
      <c r="AL63" s="91">
        <f>'Tillegg- Res. detaljert GoF'!N63</f>
        <v>0</v>
      </c>
      <c r="AM63" s="91" t="str">
        <f>IF(F63=0,"",('Tillegg- Inndata GoF'!E63+'Tillegg- Inndata GoF'!F63)*ROUNDDOWN('Tillegg- Inndata GoF'!I63,0)*(1+'Tillegg- Inndata GoF'!K63))</f>
        <v/>
      </c>
    </row>
    <row r="64" spans="2:39">
      <c r="B64" s="327">
        <f>'Tillegg- Inndata GoF'!B62</f>
        <v>0</v>
      </c>
      <c r="C64" s="328">
        <f>'Tillegg- Inndata GoF'!C62</f>
        <v>0</v>
      </c>
      <c r="D64" s="329">
        <f>'Tillegg- Inndata GoF'!D62</f>
        <v>0</v>
      </c>
      <c r="E64" s="661" cm="1">
        <f t="array" ref="E64">SUM(IFERROR(F64:AF64,0))</f>
        <v>0</v>
      </c>
      <c r="F64" s="330">
        <f>'Tillegg- Inndata GoF'!E62</f>
        <v>0</v>
      </c>
      <c r="G64" s="330">
        <f>IF('Tillegg- Inndata GoF'!AB62="Ja", -0.8*'Tillegg- Res. detaljert GoF'!$F64, 0)</f>
        <v>0</v>
      </c>
      <c r="H64" s="330">
        <f>IF('Tillegg- Inndata GoF'!AC62="Ja", -0.4*'Tillegg- Res. detaljert GoF'!$F64, 0)</f>
        <v>0</v>
      </c>
      <c r="I64" s="330">
        <f>IF('Tillegg- Inndata GoF'!AD62="Ja", -1*'Tillegg- Res. detaljert GoF'!$F64, 0)</f>
        <v>0</v>
      </c>
      <c r="J64" s="330">
        <f>'Tillegg- Inndata GoF'!O62*'Tillegg- Inndata GoF'!P62</f>
        <v>0</v>
      </c>
      <c r="K64" s="330">
        <f>MAX(-0.75*(SUM('Tillegg- Res. detaljert GoF'!F64:J64)),-'Tillegg- Inndata GoF'!O62*'Tillegg- Inndata GoF'!Q62)</f>
        <v>0</v>
      </c>
      <c r="L64" s="330">
        <f>'Tillegg- Inndata GoF'!S62*'Tillegg- Inndata GoF'!T62</f>
        <v>0</v>
      </c>
      <c r="M64" s="330">
        <f>MAX(-0.75*(SUM('Tillegg- Res. detaljert GoF'!F64:I64,L64)),-'Tillegg- Inndata GoF'!S62*'Tillegg- Inndata GoF'!U62)</f>
        <v>0</v>
      </c>
      <c r="N64" s="331">
        <f>'Tillegg- Inndata GoF'!F62</f>
        <v>0</v>
      </c>
      <c r="O64" s="330">
        <f>'Tillegg- Inndata GoF'!O62*'Tillegg- Inndata GoF'!R62</f>
        <v>0</v>
      </c>
      <c r="P64" s="332">
        <f>'Tillegg- Inndata GoF'!S62*'Tillegg- Inndata GoF'!V62</f>
        <v>0</v>
      </c>
      <c r="Q64" s="333">
        <f>SUM(F64:J64,L64)*'Tillegg- Inndata GoF'!K62</f>
        <v>0</v>
      </c>
      <c r="R64" s="333">
        <f>(K64+M64)*'Tillegg- Inndata GoF'!K62</f>
        <v>0</v>
      </c>
      <c r="S64" s="333">
        <f>SUM(N64:P64)*'Tillegg- Inndata GoF'!K62</f>
        <v>0</v>
      </c>
      <c r="T64" s="334">
        <f>('Tillegg- Inndata GoF'!G62+'Tillegg- Inndata GoF'!O62+'Tillegg- Inndata GoF'!S62)*'Tillegg- Inndata GoF'!K62*Transport_utslipp_til_avfallshånderting_per_kg</f>
        <v>0</v>
      </c>
      <c r="U64" s="330">
        <f>IF('Tillegg- Inndata GoF'!E62 = 0, 0, 1.833*'Tillegg- Inndata GoF'!X62*'Tillegg- Inndata GoF'!K62*('Tillegg- Inndata GoF'!G62*('Tillegg- Inndata GoF'!L62*0.5+'Tillegg- Inndata GoF'!M62*0.8) + (12/44)*('Tillegg- Inndata GoF'!O62*'Tillegg- Inndata GoF'!Q62+'Tillegg- Inndata GoF'!S62*'Tillegg- Inndata GoF'!U62)))</f>
        <v>0</v>
      </c>
      <c r="V64" s="335">
        <f>IF('Tillegg- Inndata GoF'!G62 = 0, 0,  MAX(-SUM(F64:J64,L64)*'Tillegg- Inndata GoF'!L62, -0.114*IF('Tillegg- Inndata GoF'!H62 &gt; 49, _xlfn.XLOOKUP(49, År_etter_ferdigstillelse, karbon_opptak_faktor), _xlfn.XLOOKUP('Tillegg- Inndata GoF'!H62, År_etter_ferdigstillelse, karbon_opptak_faktor))*'Tillegg- Inndata GoF'!G62*'Tillegg- Inndata GoF'!L62*0.5))</f>
        <v>0</v>
      </c>
      <c r="W64" s="333">
        <f>IF('Tillegg- Inndata GoF'!G62=0,0,IF('Tillegg- Inndata GoF'!H62&gt;49,-0.064*'Tillegg- Inndata GoF'!G62*'Tillegg- Inndata GoF'!N62,-0.037*'Tillegg- Inndata GoF'!J62*'Tillegg- Inndata GoF'!N62))</f>
        <v>0</v>
      </c>
      <c r="X64" s="331" cm="1">
        <f t="array" ref="X64">IF(SUM(F64:J64,L64)=0, 0, SUM(F64:J64,L64)*(1+'Tillegg-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Y64" s="330" cm="1">
        <f t="array" ref="Y64">IF(X64=0, 0, SUM(K64,M64)*(1+'Tillegg-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Z64" s="336" cm="1">
        <f t="array" ref="Z64">IF(X64=0, 0, SUM(N64:P64)*(1+'Tillegg-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AA64" s="336" cm="1">
        <f t="array" ref="AA64">IF(X64=0, 0, ('Tillegg- Inndata GoF'!G62+'Tillegg- Inndata GoF'!O62+'Tillegg- Inndata GoF'!S62)*(1+'Tillegg- Inndata GoF'!K62)*Transport_utslipp_til_avfallshånderting_per_kg*IF('Tillegg- Inndata GoF'!H62&gt;50, 0, _xlfn.XLOOKUP('Tillegg- Inndata GoF'!H62, År_etter_ferdigstillelse, IF(VALUE(LEFT('Tillegg- Inndata GoF'!B62, 2))= 49, f_tid_x_f_tek_d_0_037_kumulativ, f_tid_x_f_tek_d_0_01_kumulativ))))</f>
        <v>0</v>
      </c>
      <c r="AB64" s="334" cm="1">
        <f t="array" ref="AB64">IF(X64=0, 0,1.833*'Tillegg- Inndata GoF'!J62*('Tillegg- Inndata GoF'!X62*_xlfn.XLOOKUP(IF('Tillegg- Inndata GoF'!I62&lt;2,'Tillegg- Inndata GoF'!H62,'Tillegg- Inndata GoF'!H62*2), År_etter_ferdigstillelse, Faktorer!$Z$7:$Z$58))*('Tillegg- Inndata GoF'!L62*0.5+'Tillegg- Inndata GoF'!M62*0.8)*_xlfn.XLOOKUP(IF('Tillegg- Inndata GoF'!I62&lt;2,'Tillegg- Inndata GoF'!H62,'Tillegg- Inndata GoF'!H62*2), År_etter_ferdigstillelse,  IF(LEFT('Tillegg- Inndata GoF'!B62, 2)= 49, f_tid_x_f_tek_d_0_037, f_tid_x_f_tek_d_0_01)))</f>
        <v>0</v>
      </c>
      <c r="AC64" s="335">
        <f>IF(('Tillegg- Inndata GoF'!G62) = 0, 0,(('Tillegg- Inndata GoF'!G62)*((AG64+AI64)*Transport_utslipp_til_avfallshånderting_per_kg)+('Tillegg- Inndata GoF'!Z62*'ZERO-B Beregning'!D164)*IF('ZERO-B Beregning'!F165=0,'ZERO-B Beregning'!D165,'ZERO-B Beregning'!F165))*_xlfn.XLOOKUP(51, År_etter_ferdigstillelse, f_tid_x_f_tek_d_0_01))</f>
        <v>0</v>
      </c>
      <c r="AD64" s="337">
        <f>IF(('Tillegg- Inndata GoF'!G62) = 0, 0,1.833*('Tillegg- Inndata GoF'!G62*('Tillegg- Inndata GoF'!L62*0.5+'Tillegg- Inndata GoF'!M62*0.8)*AG64*_xlfn.XLOOKUP(51, År_etter_ferdigstillelse,  f_tid_x_f_tek_d_0_01)))</f>
        <v>0</v>
      </c>
      <c r="AE64" s="333" cm="1">
        <f t="array" ref="AE64">IF(('Tillegg- Inndata GoF'!G62) = 0, 0,-0.8*('Tillegg- Inndata GoF'!G62)*AH64*('Tillegg- Inndata GoF'!E62/'Tillegg- Inndata GoF'!G62)*_xlfn.XLOOKUP(51, År_etter_ferdigstillelse,  IF(LEFT('Tillegg- Inndata GoF'!B62, 2)= 49, f_tid_x_f_tek_d_0_037, f_tid_x_f_tek_d_0_01)))</f>
        <v>0</v>
      </c>
      <c r="AF64" s="338" cm="1">
        <f t="array" ref="AF64">IF(('Tillegg- Inndata GoF'!G62) = 0, 0,-0.1*('Tillegg- Inndata GoF'!G62)*AI64*('Tillegg- Inndata GoF'!E62/'Tillegg- Inndata GoF'!G62)*_xlfn.XLOOKUP(51, År_etter_ferdigstillelse,  IF(LEFT('Tillegg- Inndata GoF'!B62, 2)= 49, f_tid_x_f_tek_d_0_037, f_tid_x_f_tek_d_0_01)))</f>
        <v>0</v>
      </c>
      <c r="AG64" s="572">
        <f>IF(('Tillegg- Inndata GoF'!G62) = 0, 0,'Tillegg- Inndata GoF'!X62*Faktorer!$Z$58)</f>
        <v>0</v>
      </c>
      <c r="AH64" s="573">
        <f>IF(('Tillegg- Inndata GoF'!G62) = 0, 0,'Tillegg- Inndata GoF'!Z62+('Tillegg- Inndata GoF'!X62+'Tillegg- Inndata GoF'!Y62)*(1-Faktorer!$Z$58)*0.5)</f>
        <v>0</v>
      </c>
      <c r="AI64" s="574">
        <f>IF(('Tillegg- Inndata GoF'!G62) = 0, 0,'Tillegg- Inndata GoF'!AA62+('Tillegg- Inndata GoF'!X62+'Tillegg- Inndata GoF'!Y62)*(1-Faktorer!$Z$58)*0.5)</f>
        <v>0</v>
      </c>
      <c r="AK64" s="90">
        <f t="shared" si="1"/>
        <v>0</v>
      </c>
      <c r="AL64" s="91">
        <f>'Tillegg- Res. detaljert GoF'!N64</f>
        <v>0</v>
      </c>
      <c r="AM64" s="91" t="str">
        <f>IF(F64=0,"",('Tillegg- Inndata GoF'!E64+'Tillegg- Inndata GoF'!F64)*ROUNDDOWN('Tillegg- Inndata GoF'!I64,0)*(1+'Tillegg- Inndata GoF'!K64))</f>
        <v/>
      </c>
    </row>
    <row r="65" spans="2:39">
      <c r="B65" s="327">
        <f>'Tillegg- Inndata GoF'!B63</f>
        <v>0</v>
      </c>
      <c r="C65" s="328">
        <f>'Tillegg- Inndata GoF'!C63</f>
        <v>0</v>
      </c>
      <c r="D65" s="329">
        <f>'Tillegg- Inndata GoF'!D63</f>
        <v>0</v>
      </c>
      <c r="E65" s="661" cm="1">
        <f t="array" ref="E65">SUM(IFERROR(F65:AF65,0))</f>
        <v>0</v>
      </c>
      <c r="F65" s="330">
        <f>'Tillegg- Inndata GoF'!E63</f>
        <v>0</v>
      </c>
      <c r="G65" s="330">
        <f>IF('Tillegg- Inndata GoF'!AB63="Ja", -0.8*'Tillegg- Res. detaljert GoF'!$F65, 0)</f>
        <v>0</v>
      </c>
      <c r="H65" s="330">
        <f>IF('Tillegg- Inndata GoF'!AC63="Ja", -0.4*'Tillegg- Res. detaljert GoF'!$F65, 0)</f>
        <v>0</v>
      </c>
      <c r="I65" s="330">
        <f>IF('Tillegg- Inndata GoF'!AD63="Ja", -1*'Tillegg- Res. detaljert GoF'!$F65, 0)</f>
        <v>0</v>
      </c>
      <c r="J65" s="330">
        <f>'Tillegg- Inndata GoF'!O63*'Tillegg- Inndata GoF'!P63</f>
        <v>0</v>
      </c>
      <c r="K65" s="330">
        <f>MAX(-0.75*(SUM('Tillegg- Res. detaljert GoF'!F65:J65)),-'Tillegg- Inndata GoF'!O63*'Tillegg- Inndata GoF'!Q63)</f>
        <v>0</v>
      </c>
      <c r="L65" s="330">
        <f>'Tillegg- Inndata GoF'!S63*'Tillegg- Inndata GoF'!T63</f>
        <v>0</v>
      </c>
      <c r="M65" s="330">
        <f>MAX(-0.75*(SUM('Tillegg- Res. detaljert GoF'!F65:I65,L65)),-'Tillegg- Inndata GoF'!S63*'Tillegg- Inndata GoF'!U63)</f>
        <v>0</v>
      </c>
      <c r="N65" s="331">
        <f>'Tillegg- Inndata GoF'!F63</f>
        <v>0</v>
      </c>
      <c r="O65" s="330">
        <f>'Tillegg- Inndata GoF'!O63*'Tillegg- Inndata GoF'!R63</f>
        <v>0</v>
      </c>
      <c r="P65" s="332">
        <f>'Tillegg- Inndata GoF'!S63*'Tillegg- Inndata GoF'!V63</f>
        <v>0</v>
      </c>
      <c r="Q65" s="333">
        <f>SUM(F65:J65,L65)*'Tillegg- Inndata GoF'!K63</f>
        <v>0</v>
      </c>
      <c r="R65" s="333">
        <f>(K65+M65)*'Tillegg- Inndata GoF'!K63</f>
        <v>0</v>
      </c>
      <c r="S65" s="333">
        <f>SUM(N65:P65)*'Tillegg- Inndata GoF'!K63</f>
        <v>0</v>
      </c>
      <c r="T65" s="334">
        <f>('Tillegg- Inndata GoF'!G63+'Tillegg- Inndata GoF'!O63+'Tillegg- Inndata GoF'!S63)*'Tillegg- Inndata GoF'!K63*Transport_utslipp_til_avfallshånderting_per_kg</f>
        <v>0</v>
      </c>
      <c r="U65" s="330">
        <f>IF('Tillegg- Inndata GoF'!E63 = 0, 0, 1.833*'Tillegg- Inndata GoF'!X63*'Tillegg- Inndata GoF'!K63*('Tillegg- Inndata GoF'!G63*('Tillegg- Inndata GoF'!L63*0.5+'Tillegg- Inndata GoF'!M63*0.8) + (12/44)*('Tillegg- Inndata GoF'!O63*'Tillegg- Inndata GoF'!Q63+'Tillegg- Inndata GoF'!S63*'Tillegg- Inndata GoF'!U63)))</f>
        <v>0</v>
      </c>
      <c r="V65" s="335">
        <f>IF('Tillegg- Inndata GoF'!G63 = 0, 0,  MAX(-SUM(F65:J65,L65)*'Tillegg- Inndata GoF'!L63, -0.114*IF('Tillegg- Inndata GoF'!H63 &gt; 49, _xlfn.XLOOKUP(49, År_etter_ferdigstillelse, karbon_opptak_faktor), _xlfn.XLOOKUP('Tillegg- Inndata GoF'!H63, År_etter_ferdigstillelse, karbon_opptak_faktor))*'Tillegg- Inndata GoF'!G63*'Tillegg- Inndata GoF'!L63*0.5))</f>
        <v>0</v>
      </c>
      <c r="W65" s="333">
        <f>IF('Tillegg- Inndata GoF'!G63=0,0,IF('Tillegg- Inndata GoF'!H63&gt;49,-0.064*'Tillegg- Inndata GoF'!G63*'Tillegg- Inndata GoF'!N63,-0.037*'Tillegg- Inndata GoF'!J63*'Tillegg- Inndata GoF'!N63))</f>
        <v>0</v>
      </c>
      <c r="X65" s="331" cm="1">
        <f t="array" ref="X65">IF(SUM(F65:J65,L65)=0, 0, SUM(F65:J65,L65)*(1+'Tillegg-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Y65" s="330" cm="1">
        <f t="array" ref="Y65">IF(X65=0, 0, SUM(K65,M65)*(1+'Tillegg-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Z65" s="336" cm="1">
        <f t="array" ref="Z65">IF(X65=0, 0, SUM(N65:P65)*(1+'Tillegg-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AA65" s="336" cm="1">
        <f t="array" ref="AA65">IF(X65=0, 0, ('Tillegg- Inndata GoF'!G63+'Tillegg- Inndata GoF'!O63+'Tillegg- Inndata GoF'!S63)*(1+'Tillegg- Inndata GoF'!K63)*Transport_utslipp_til_avfallshånderting_per_kg*IF('Tillegg- Inndata GoF'!H63&gt;50, 0, _xlfn.XLOOKUP('Tillegg- Inndata GoF'!H63, År_etter_ferdigstillelse, IF(VALUE(LEFT('Tillegg- Inndata GoF'!B63, 2))= 49, f_tid_x_f_tek_d_0_037_kumulativ, f_tid_x_f_tek_d_0_01_kumulativ))))</f>
        <v>0</v>
      </c>
      <c r="AB65" s="334" cm="1">
        <f t="array" ref="AB65">IF(X65=0, 0,1.833*'Tillegg- Inndata GoF'!J63*('Tillegg- Inndata GoF'!X63*_xlfn.XLOOKUP(IF('Tillegg- Inndata GoF'!I63&lt;2,'Tillegg- Inndata GoF'!H63,'Tillegg- Inndata GoF'!H63*2), År_etter_ferdigstillelse, Faktorer!$Z$7:$Z$58))*('Tillegg- Inndata GoF'!L63*0.5+'Tillegg- Inndata GoF'!M63*0.8)*_xlfn.XLOOKUP(IF('Tillegg- Inndata GoF'!I63&lt;2,'Tillegg- Inndata GoF'!H63,'Tillegg- Inndata GoF'!H63*2), År_etter_ferdigstillelse,  IF(LEFT('Tillegg- Inndata GoF'!B63, 2)= 49, f_tid_x_f_tek_d_0_037, f_tid_x_f_tek_d_0_01)))</f>
        <v>0</v>
      </c>
      <c r="AC65" s="335">
        <f>IF(('Tillegg- Inndata GoF'!G63) = 0, 0,(('Tillegg- Inndata GoF'!G63)*((AG65+AI65)*Transport_utslipp_til_avfallshånderting_per_kg)+('Tillegg- Inndata GoF'!Z63*'ZERO-B Beregning'!D165)*IF('ZERO-B Beregning'!F166=0,'ZERO-B Beregning'!D166,'ZERO-B Beregning'!F166))*_xlfn.XLOOKUP(51, År_etter_ferdigstillelse, f_tid_x_f_tek_d_0_01))</f>
        <v>0</v>
      </c>
      <c r="AD65" s="337">
        <f>IF(('Tillegg- Inndata GoF'!G63) = 0, 0,1.833*('Tillegg- Inndata GoF'!G63*('Tillegg- Inndata GoF'!L63*0.5+'Tillegg- Inndata GoF'!M63*0.8)*AG65*_xlfn.XLOOKUP(51, År_etter_ferdigstillelse,  f_tid_x_f_tek_d_0_01)))</f>
        <v>0</v>
      </c>
      <c r="AE65" s="333" cm="1">
        <f t="array" ref="AE65">IF(('Tillegg- Inndata GoF'!G63) = 0, 0,-0.8*('Tillegg- Inndata GoF'!G63)*AH65*('Tillegg- Inndata GoF'!E63/'Tillegg- Inndata GoF'!G63)*_xlfn.XLOOKUP(51, År_etter_ferdigstillelse,  IF(LEFT('Tillegg- Inndata GoF'!B63, 2)= 49, f_tid_x_f_tek_d_0_037, f_tid_x_f_tek_d_0_01)))</f>
        <v>0</v>
      </c>
      <c r="AF65" s="338" cm="1">
        <f t="array" ref="AF65">IF(('Tillegg- Inndata GoF'!G63) = 0, 0,-0.1*('Tillegg- Inndata GoF'!G63)*AI65*('Tillegg- Inndata GoF'!E63/'Tillegg- Inndata GoF'!G63)*_xlfn.XLOOKUP(51, År_etter_ferdigstillelse,  IF(LEFT('Tillegg- Inndata GoF'!B63, 2)= 49, f_tid_x_f_tek_d_0_037, f_tid_x_f_tek_d_0_01)))</f>
        <v>0</v>
      </c>
      <c r="AG65" s="572">
        <f>IF(('Tillegg- Inndata GoF'!G63) = 0, 0,'Tillegg- Inndata GoF'!X63*Faktorer!$Z$58)</f>
        <v>0</v>
      </c>
      <c r="AH65" s="573">
        <f>IF(('Tillegg- Inndata GoF'!G63) = 0, 0,'Tillegg- Inndata GoF'!Z63+('Tillegg- Inndata GoF'!X63+'Tillegg- Inndata GoF'!Y63)*(1-Faktorer!$Z$58)*0.5)</f>
        <v>0</v>
      </c>
      <c r="AI65" s="574">
        <f>IF(('Tillegg- Inndata GoF'!G63) = 0, 0,'Tillegg- Inndata GoF'!AA63+('Tillegg- Inndata GoF'!X63+'Tillegg- Inndata GoF'!Y63)*(1-Faktorer!$Z$58)*0.5)</f>
        <v>0</v>
      </c>
      <c r="AK65" s="90">
        <f t="shared" si="1"/>
        <v>0</v>
      </c>
      <c r="AL65" s="91">
        <f>'Tillegg- Res. detaljert GoF'!N65</f>
        <v>0</v>
      </c>
      <c r="AM65" s="91" t="str">
        <f>IF(F65=0,"",('Tillegg- Inndata GoF'!E65+'Tillegg- Inndata GoF'!F65)*ROUNDDOWN('Tillegg- Inndata GoF'!I65,0)*(1+'Tillegg- Inndata GoF'!K65))</f>
        <v/>
      </c>
    </row>
    <row r="66" spans="2:39">
      <c r="B66" s="327">
        <f>'Tillegg- Inndata GoF'!B64</f>
        <v>0</v>
      </c>
      <c r="C66" s="328">
        <f>'Tillegg- Inndata GoF'!C64</f>
        <v>0</v>
      </c>
      <c r="D66" s="329">
        <f>'Tillegg- Inndata GoF'!D64</f>
        <v>0</v>
      </c>
      <c r="E66" s="661" cm="1">
        <f t="array" ref="E66">SUM(IFERROR(F66:AF66,0))</f>
        <v>0</v>
      </c>
      <c r="F66" s="330">
        <f>'Tillegg- Inndata GoF'!E64</f>
        <v>0</v>
      </c>
      <c r="G66" s="330">
        <f>IF('Tillegg- Inndata GoF'!AB64="Ja", -0.8*'Tillegg- Res. detaljert GoF'!$F66, 0)</f>
        <v>0</v>
      </c>
      <c r="H66" s="330">
        <f>IF('Tillegg- Inndata GoF'!AC64="Ja", -0.4*'Tillegg- Res. detaljert GoF'!$F66, 0)</f>
        <v>0</v>
      </c>
      <c r="I66" s="330">
        <f>IF('Tillegg- Inndata GoF'!AD64="Ja", -1*'Tillegg- Res. detaljert GoF'!$F66, 0)</f>
        <v>0</v>
      </c>
      <c r="J66" s="330">
        <f>'Tillegg- Inndata GoF'!O64*'Tillegg- Inndata GoF'!P64</f>
        <v>0</v>
      </c>
      <c r="K66" s="330">
        <f>MAX(-0.75*(SUM('Tillegg- Res. detaljert GoF'!F66:J66)),-'Tillegg- Inndata GoF'!O64*'Tillegg- Inndata GoF'!Q64)</f>
        <v>0</v>
      </c>
      <c r="L66" s="330">
        <f>'Tillegg- Inndata GoF'!S64*'Tillegg- Inndata GoF'!T64</f>
        <v>0</v>
      </c>
      <c r="M66" s="330">
        <f>MAX(-0.75*(SUM('Tillegg- Res. detaljert GoF'!F66:I66,L66)),-'Tillegg- Inndata GoF'!S64*'Tillegg- Inndata GoF'!U64)</f>
        <v>0</v>
      </c>
      <c r="N66" s="331">
        <f>'Tillegg- Inndata GoF'!F64</f>
        <v>0</v>
      </c>
      <c r="O66" s="330">
        <f>'Tillegg- Inndata GoF'!O64*'Tillegg- Inndata GoF'!R64</f>
        <v>0</v>
      </c>
      <c r="P66" s="332">
        <f>'Tillegg- Inndata GoF'!S64*'Tillegg- Inndata GoF'!V64</f>
        <v>0</v>
      </c>
      <c r="Q66" s="333">
        <f>SUM(F66:J66,L66)*'Tillegg- Inndata GoF'!K64</f>
        <v>0</v>
      </c>
      <c r="R66" s="333">
        <f>(K66+M66)*'Tillegg- Inndata GoF'!K64</f>
        <v>0</v>
      </c>
      <c r="S66" s="333">
        <f>SUM(N66:P66)*'Tillegg- Inndata GoF'!K64</f>
        <v>0</v>
      </c>
      <c r="T66" s="334">
        <f>('Tillegg- Inndata GoF'!G64+'Tillegg- Inndata GoF'!O64+'Tillegg- Inndata GoF'!S64)*'Tillegg- Inndata GoF'!K64*Transport_utslipp_til_avfallshånderting_per_kg</f>
        <v>0</v>
      </c>
      <c r="U66" s="330">
        <f>IF('Tillegg- Inndata GoF'!E64 = 0, 0, 1.833*'Tillegg- Inndata GoF'!X64*'Tillegg- Inndata GoF'!K64*('Tillegg- Inndata GoF'!G64*('Tillegg- Inndata GoF'!L64*0.5+'Tillegg- Inndata GoF'!M64*0.8) + (12/44)*('Tillegg- Inndata GoF'!O64*'Tillegg- Inndata GoF'!Q64+'Tillegg- Inndata GoF'!S64*'Tillegg- Inndata GoF'!U64)))</f>
        <v>0</v>
      </c>
      <c r="V66" s="335">
        <f>IF('Tillegg- Inndata GoF'!G64 = 0, 0,  MAX(-SUM(F66:J66,L66)*'Tillegg- Inndata GoF'!L64, -0.114*IF('Tillegg- Inndata GoF'!H64 &gt; 49, _xlfn.XLOOKUP(49, År_etter_ferdigstillelse, karbon_opptak_faktor), _xlfn.XLOOKUP('Tillegg- Inndata GoF'!H64, År_etter_ferdigstillelse, karbon_opptak_faktor))*'Tillegg- Inndata GoF'!G64*'Tillegg- Inndata GoF'!L64*0.5))</f>
        <v>0</v>
      </c>
      <c r="W66" s="333">
        <f>IF('Tillegg- Inndata GoF'!G64=0,0,IF('Tillegg- Inndata GoF'!H64&gt;49,-0.064*'Tillegg- Inndata GoF'!G64*'Tillegg- Inndata GoF'!N64,-0.037*'Tillegg- Inndata GoF'!J64*'Tillegg- Inndata GoF'!N64))</f>
        <v>0</v>
      </c>
      <c r="X66" s="331" cm="1">
        <f t="array" ref="X66">IF(SUM(F66:J66,L66)=0, 0, SUM(F66:J66,L66)*(1+'Tillegg-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Y66" s="330" cm="1">
        <f t="array" ref="Y66">IF(X66=0, 0, SUM(K66,M66)*(1+'Tillegg-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Z66" s="336" cm="1">
        <f t="array" ref="Z66">IF(X66=0, 0, SUM(N66:P66)*(1+'Tillegg-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AA66" s="336" cm="1">
        <f t="array" ref="AA66">IF(X66=0, 0, ('Tillegg- Inndata GoF'!G64+'Tillegg- Inndata GoF'!O64+'Tillegg- Inndata GoF'!S64)*(1+'Tillegg- Inndata GoF'!K64)*Transport_utslipp_til_avfallshånderting_per_kg*IF('Tillegg- Inndata GoF'!H64&gt;50, 0, _xlfn.XLOOKUP('Tillegg- Inndata GoF'!H64, År_etter_ferdigstillelse, IF(VALUE(LEFT('Tillegg- Inndata GoF'!B64, 2))= 49, f_tid_x_f_tek_d_0_037_kumulativ, f_tid_x_f_tek_d_0_01_kumulativ))))</f>
        <v>0</v>
      </c>
      <c r="AB66" s="334" cm="1">
        <f t="array" ref="AB66">IF(X66=0, 0,1.833*'Tillegg- Inndata GoF'!J64*('Tillegg- Inndata GoF'!X64*_xlfn.XLOOKUP(IF('Tillegg- Inndata GoF'!I64&lt;2,'Tillegg- Inndata GoF'!H64,'Tillegg- Inndata GoF'!H64*2), År_etter_ferdigstillelse, Faktorer!$Z$7:$Z$58))*('Tillegg- Inndata GoF'!L64*0.5+'Tillegg- Inndata GoF'!M64*0.8)*_xlfn.XLOOKUP(IF('Tillegg- Inndata GoF'!I64&lt;2,'Tillegg- Inndata GoF'!H64,'Tillegg- Inndata GoF'!H64*2), År_etter_ferdigstillelse,  IF(LEFT('Tillegg- Inndata GoF'!B64, 2)= 49, f_tid_x_f_tek_d_0_037, f_tid_x_f_tek_d_0_01)))</f>
        <v>0</v>
      </c>
      <c r="AC66" s="335">
        <f>IF(('Tillegg- Inndata GoF'!G64) = 0, 0,(('Tillegg- Inndata GoF'!G64)*((AG66+AI66)*Transport_utslipp_til_avfallshånderting_per_kg)+('Tillegg- Inndata GoF'!Z64*'ZERO-B Beregning'!D166)*IF('ZERO-B Beregning'!F167=0,'ZERO-B Beregning'!D167,'ZERO-B Beregning'!F167))*_xlfn.XLOOKUP(51, År_etter_ferdigstillelse, f_tid_x_f_tek_d_0_01))</f>
        <v>0</v>
      </c>
      <c r="AD66" s="337">
        <f>IF(('Tillegg- Inndata GoF'!G64) = 0, 0,1.833*('Tillegg- Inndata GoF'!G64*('Tillegg- Inndata GoF'!L64*0.5+'Tillegg- Inndata GoF'!M64*0.8)*AG66*_xlfn.XLOOKUP(51, År_etter_ferdigstillelse,  f_tid_x_f_tek_d_0_01)))</f>
        <v>0</v>
      </c>
      <c r="AE66" s="333" cm="1">
        <f t="array" ref="AE66">IF(('Tillegg- Inndata GoF'!G64) = 0, 0,-0.8*('Tillegg- Inndata GoF'!G64)*AH66*('Tillegg- Inndata GoF'!E64/'Tillegg- Inndata GoF'!G64)*_xlfn.XLOOKUP(51, År_etter_ferdigstillelse,  IF(LEFT('Tillegg- Inndata GoF'!B64, 2)= 49, f_tid_x_f_tek_d_0_037, f_tid_x_f_tek_d_0_01)))</f>
        <v>0</v>
      </c>
      <c r="AF66" s="338" cm="1">
        <f t="array" ref="AF66">IF(('Tillegg- Inndata GoF'!G64) = 0, 0,-0.1*('Tillegg- Inndata GoF'!G64)*AI66*('Tillegg- Inndata GoF'!E64/'Tillegg- Inndata GoF'!G64)*_xlfn.XLOOKUP(51, År_etter_ferdigstillelse,  IF(LEFT('Tillegg- Inndata GoF'!B64, 2)= 49, f_tid_x_f_tek_d_0_037, f_tid_x_f_tek_d_0_01)))</f>
        <v>0</v>
      </c>
      <c r="AG66" s="572">
        <f>IF(('Tillegg- Inndata GoF'!G64) = 0, 0,'Tillegg- Inndata GoF'!X64*Faktorer!$Z$58)</f>
        <v>0</v>
      </c>
      <c r="AH66" s="573">
        <f>IF(('Tillegg- Inndata GoF'!G64) = 0, 0,'Tillegg- Inndata GoF'!Z64+('Tillegg- Inndata GoF'!X64+'Tillegg- Inndata GoF'!Y64)*(1-Faktorer!$Z$58)*0.5)</f>
        <v>0</v>
      </c>
      <c r="AI66" s="574">
        <f>IF(('Tillegg- Inndata GoF'!G64) = 0, 0,'Tillegg- Inndata GoF'!AA64+('Tillegg- Inndata GoF'!X64+'Tillegg- Inndata GoF'!Y64)*(1-Faktorer!$Z$58)*0.5)</f>
        <v>0</v>
      </c>
      <c r="AK66" s="90">
        <f t="shared" si="1"/>
        <v>0</v>
      </c>
      <c r="AL66" s="91">
        <f>'Tillegg- Res. detaljert GoF'!N66</f>
        <v>0</v>
      </c>
      <c r="AM66" s="91" t="str">
        <f>IF(F66=0,"",('Tillegg- Inndata GoF'!E66+'Tillegg- Inndata GoF'!F66)*ROUNDDOWN('Tillegg- Inndata GoF'!I66,0)*(1+'Tillegg- Inndata GoF'!K66))</f>
        <v/>
      </c>
    </row>
    <row r="67" spans="2:39">
      <c r="B67" s="327">
        <f>'Tillegg- Inndata GoF'!B65</f>
        <v>0</v>
      </c>
      <c r="C67" s="328">
        <f>'Tillegg- Inndata GoF'!C65</f>
        <v>0</v>
      </c>
      <c r="D67" s="329">
        <f>'Tillegg- Inndata GoF'!D65</f>
        <v>0</v>
      </c>
      <c r="E67" s="661" cm="1">
        <f t="array" ref="E67">SUM(IFERROR(F67:AF67,0))</f>
        <v>0</v>
      </c>
      <c r="F67" s="330">
        <f>'Tillegg- Inndata GoF'!E65</f>
        <v>0</v>
      </c>
      <c r="G67" s="330">
        <f>IF('Tillegg- Inndata GoF'!AB65="Ja", -0.8*'Tillegg- Res. detaljert GoF'!$F67, 0)</f>
        <v>0</v>
      </c>
      <c r="H67" s="330">
        <f>IF('Tillegg- Inndata GoF'!AC65="Ja", -0.4*'Tillegg- Res. detaljert GoF'!$F67, 0)</f>
        <v>0</v>
      </c>
      <c r="I67" s="330">
        <f>IF('Tillegg- Inndata GoF'!AD65="Ja", -1*'Tillegg- Res. detaljert GoF'!$F67, 0)</f>
        <v>0</v>
      </c>
      <c r="J67" s="330">
        <f>'Tillegg- Inndata GoF'!O65*'Tillegg- Inndata GoF'!P65</f>
        <v>0</v>
      </c>
      <c r="K67" s="330">
        <f>MAX(-0.75*(SUM('Tillegg- Res. detaljert GoF'!F67:J67)),-'Tillegg- Inndata GoF'!O65*'Tillegg- Inndata GoF'!Q65)</f>
        <v>0</v>
      </c>
      <c r="L67" s="330">
        <f>'Tillegg- Inndata GoF'!S65*'Tillegg- Inndata GoF'!T65</f>
        <v>0</v>
      </c>
      <c r="M67" s="330">
        <f>MAX(-0.75*(SUM('Tillegg- Res. detaljert GoF'!F67:I67,L67)),-'Tillegg- Inndata GoF'!S65*'Tillegg- Inndata GoF'!U65)</f>
        <v>0</v>
      </c>
      <c r="N67" s="331">
        <f>'Tillegg- Inndata GoF'!F65</f>
        <v>0</v>
      </c>
      <c r="O67" s="330">
        <f>'Tillegg- Inndata GoF'!O65*'Tillegg- Inndata GoF'!R65</f>
        <v>0</v>
      </c>
      <c r="P67" s="332">
        <f>'Tillegg- Inndata GoF'!S65*'Tillegg- Inndata GoF'!V65</f>
        <v>0</v>
      </c>
      <c r="Q67" s="333">
        <f>SUM(F67:J67,L67)*'Tillegg- Inndata GoF'!K65</f>
        <v>0</v>
      </c>
      <c r="R67" s="333">
        <f>(K67+M67)*'Tillegg- Inndata GoF'!K65</f>
        <v>0</v>
      </c>
      <c r="S67" s="333">
        <f>SUM(N67:P67)*'Tillegg- Inndata GoF'!K65</f>
        <v>0</v>
      </c>
      <c r="T67" s="334">
        <f>('Tillegg- Inndata GoF'!G65+'Tillegg- Inndata GoF'!O65+'Tillegg- Inndata GoF'!S65)*'Tillegg- Inndata GoF'!K65*Transport_utslipp_til_avfallshånderting_per_kg</f>
        <v>0</v>
      </c>
      <c r="U67" s="330">
        <f>IF('Tillegg- Inndata GoF'!E65 = 0, 0, 1.833*'Tillegg- Inndata GoF'!X65*'Tillegg- Inndata GoF'!K65*('Tillegg- Inndata GoF'!G65*('Tillegg- Inndata GoF'!L65*0.5+'Tillegg- Inndata GoF'!M65*0.8) + (12/44)*('Tillegg- Inndata GoF'!O65*'Tillegg- Inndata GoF'!Q65+'Tillegg- Inndata GoF'!S65*'Tillegg- Inndata GoF'!U65)))</f>
        <v>0</v>
      </c>
      <c r="V67" s="335">
        <f>IF('Tillegg- Inndata GoF'!G65 = 0, 0,  MAX(-SUM(F67:J67,L67)*'Tillegg- Inndata GoF'!L65, -0.114*IF('Tillegg- Inndata GoF'!H65 &gt; 49, _xlfn.XLOOKUP(49, År_etter_ferdigstillelse, karbon_opptak_faktor), _xlfn.XLOOKUP('Tillegg- Inndata GoF'!H65, År_etter_ferdigstillelse, karbon_opptak_faktor))*'Tillegg- Inndata GoF'!G65*'Tillegg- Inndata GoF'!L65*0.5))</f>
        <v>0</v>
      </c>
      <c r="W67" s="333">
        <f>IF('Tillegg- Inndata GoF'!G65=0,0,IF('Tillegg- Inndata GoF'!H65&gt;49,-0.064*'Tillegg- Inndata GoF'!G65*'Tillegg- Inndata GoF'!N65,-0.037*'Tillegg- Inndata GoF'!J65*'Tillegg- Inndata GoF'!N65))</f>
        <v>0</v>
      </c>
      <c r="X67" s="331" cm="1">
        <f t="array" ref="X67">IF(SUM(F67:J67,L67)=0, 0, SUM(F67:J67,L67)*(1+'Tillegg-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Y67" s="330" cm="1">
        <f t="array" ref="Y67">IF(X67=0, 0, SUM(K67,M67)*(1+'Tillegg-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Z67" s="336" cm="1">
        <f t="array" ref="Z67">IF(X67=0, 0, SUM(N67:P67)*(1+'Tillegg-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AA67" s="336" cm="1">
        <f t="array" ref="AA67">IF(X67=0, 0, ('Tillegg- Inndata GoF'!G65+'Tillegg- Inndata GoF'!O65+'Tillegg- Inndata GoF'!S65)*(1+'Tillegg- Inndata GoF'!K65)*Transport_utslipp_til_avfallshånderting_per_kg*IF('Tillegg- Inndata GoF'!H65&gt;50, 0, _xlfn.XLOOKUP('Tillegg- Inndata GoF'!H65, År_etter_ferdigstillelse, IF(VALUE(LEFT('Tillegg- Inndata GoF'!B65, 2))= 49, f_tid_x_f_tek_d_0_037_kumulativ, f_tid_x_f_tek_d_0_01_kumulativ))))</f>
        <v>0</v>
      </c>
      <c r="AB67" s="334" cm="1">
        <f t="array" ref="AB67">IF(X67=0, 0,1.833*'Tillegg- Inndata GoF'!J65*('Tillegg- Inndata GoF'!X65*_xlfn.XLOOKUP(IF('Tillegg- Inndata GoF'!I65&lt;2,'Tillegg- Inndata GoF'!H65,'Tillegg- Inndata GoF'!H65*2), År_etter_ferdigstillelse, Faktorer!$Z$7:$Z$58))*('Tillegg- Inndata GoF'!L65*0.5+'Tillegg- Inndata GoF'!M65*0.8)*_xlfn.XLOOKUP(IF('Tillegg- Inndata GoF'!I65&lt;2,'Tillegg- Inndata GoF'!H65,'Tillegg- Inndata GoF'!H65*2), År_etter_ferdigstillelse,  IF(LEFT('Tillegg- Inndata GoF'!B65, 2)= 49, f_tid_x_f_tek_d_0_037, f_tid_x_f_tek_d_0_01)))</f>
        <v>0</v>
      </c>
      <c r="AC67" s="335">
        <f>IF(('Tillegg- Inndata GoF'!G65) = 0, 0,(('Tillegg- Inndata GoF'!G65)*((AG67+AI67)*Transport_utslipp_til_avfallshånderting_per_kg)+('Tillegg- Inndata GoF'!Z65*'ZERO-B Beregning'!D167)*IF('ZERO-B Beregning'!F168=0,'ZERO-B Beregning'!D168,'ZERO-B Beregning'!F168))*_xlfn.XLOOKUP(51, År_etter_ferdigstillelse, f_tid_x_f_tek_d_0_01))</f>
        <v>0</v>
      </c>
      <c r="AD67" s="337">
        <f>IF(('Tillegg- Inndata GoF'!G65) = 0, 0,1.833*('Tillegg- Inndata GoF'!G65*('Tillegg- Inndata GoF'!L65*0.5+'Tillegg- Inndata GoF'!M65*0.8)*AG67*_xlfn.XLOOKUP(51, År_etter_ferdigstillelse,  f_tid_x_f_tek_d_0_01)))</f>
        <v>0</v>
      </c>
      <c r="AE67" s="333" cm="1">
        <f t="array" ref="AE67">IF(('Tillegg- Inndata GoF'!G65) = 0, 0,-0.8*('Tillegg- Inndata GoF'!G65)*AH67*('Tillegg- Inndata GoF'!E65/'Tillegg- Inndata GoF'!G65)*_xlfn.XLOOKUP(51, År_etter_ferdigstillelse,  IF(LEFT('Tillegg- Inndata GoF'!B65, 2)= 49, f_tid_x_f_tek_d_0_037, f_tid_x_f_tek_d_0_01)))</f>
        <v>0</v>
      </c>
      <c r="AF67" s="338" cm="1">
        <f t="array" ref="AF67">IF(('Tillegg- Inndata GoF'!G65) = 0, 0,-0.1*('Tillegg- Inndata GoF'!G65)*AI67*('Tillegg- Inndata GoF'!E65/'Tillegg- Inndata GoF'!G65)*_xlfn.XLOOKUP(51, År_etter_ferdigstillelse,  IF(LEFT('Tillegg- Inndata GoF'!B65, 2)= 49, f_tid_x_f_tek_d_0_037, f_tid_x_f_tek_d_0_01)))</f>
        <v>0</v>
      </c>
      <c r="AG67" s="572">
        <f>IF(('Tillegg- Inndata GoF'!G65) = 0, 0,'Tillegg- Inndata GoF'!X65*Faktorer!$Z$58)</f>
        <v>0</v>
      </c>
      <c r="AH67" s="573">
        <f>IF(('Tillegg- Inndata GoF'!G65) = 0, 0,'Tillegg- Inndata GoF'!Z65+('Tillegg- Inndata GoF'!X65+'Tillegg- Inndata GoF'!Y65)*(1-Faktorer!$Z$58)*0.5)</f>
        <v>0</v>
      </c>
      <c r="AI67" s="574">
        <f>IF(('Tillegg- Inndata GoF'!G65) = 0, 0,'Tillegg- Inndata GoF'!AA65+('Tillegg- Inndata GoF'!X65+'Tillegg- Inndata GoF'!Y65)*(1-Faktorer!$Z$58)*0.5)</f>
        <v>0</v>
      </c>
      <c r="AK67" s="90">
        <f t="shared" si="1"/>
        <v>0</v>
      </c>
      <c r="AL67" s="91">
        <f>'Tillegg- Res. detaljert GoF'!N67</f>
        <v>0</v>
      </c>
      <c r="AM67" s="91" t="str">
        <f>IF(F67=0,"",('Tillegg- Inndata GoF'!E67+'Tillegg- Inndata GoF'!F67)*ROUNDDOWN('Tillegg- Inndata GoF'!I67,0)*(1+'Tillegg- Inndata GoF'!K67))</f>
        <v/>
      </c>
    </row>
    <row r="68" spans="2:39">
      <c r="B68" s="327">
        <f>'Tillegg- Inndata GoF'!B66</f>
        <v>0</v>
      </c>
      <c r="C68" s="328">
        <f>'Tillegg- Inndata GoF'!C66</f>
        <v>0</v>
      </c>
      <c r="D68" s="329">
        <f>'Tillegg- Inndata GoF'!D66</f>
        <v>0</v>
      </c>
      <c r="E68" s="661" cm="1">
        <f t="array" ref="E68">SUM(IFERROR(F68:AF68,0))</f>
        <v>0</v>
      </c>
      <c r="F68" s="330">
        <f>'Tillegg- Inndata GoF'!E66</f>
        <v>0</v>
      </c>
      <c r="G68" s="330">
        <f>IF('Tillegg- Inndata GoF'!AB66="Ja", -0.8*'Tillegg- Res. detaljert GoF'!$F68, 0)</f>
        <v>0</v>
      </c>
      <c r="H68" s="330">
        <f>IF('Tillegg- Inndata GoF'!AC66="Ja", -0.4*'Tillegg- Res. detaljert GoF'!$F68, 0)</f>
        <v>0</v>
      </c>
      <c r="I68" s="330">
        <f>IF('Tillegg- Inndata GoF'!AD66="Ja", -1*'Tillegg- Res. detaljert GoF'!$F68, 0)</f>
        <v>0</v>
      </c>
      <c r="J68" s="330">
        <f>'Tillegg- Inndata GoF'!O66*'Tillegg- Inndata GoF'!P66</f>
        <v>0</v>
      </c>
      <c r="K68" s="330">
        <f>MAX(-0.75*(SUM('Tillegg- Res. detaljert GoF'!F68:J68)),-'Tillegg- Inndata GoF'!O66*'Tillegg- Inndata GoF'!Q66)</f>
        <v>0</v>
      </c>
      <c r="L68" s="330">
        <f>'Tillegg- Inndata GoF'!S66*'Tillegg- Inndata GoF'!T66</f>
        <v>0</v>
      </c>
      <c r="M68" s="330">
        <f>MAX(-0.75*(SUM('Tillegg- Res. detaljert GoF'!F68:I68,L68)),-'Tillegg- Inndata GoF'!S66*'Tillegg- Inndata GoF'!U66)</f>
        <v>0</v>
      </c>
      <c r="N68" s="331">
        <f>'Tillegg- Inndata GoF'!F66</f>
        <v>0</v>
      </c>
      <c r="O68" s="330">
        <f>'Tillegg- Inndata GoF'!O66*'Tillegg- Inndata GoF'!R66</f>
        <v>0</v>
      </c>
      <c r="P68" s="332">
        <f>'Tillegg- Inndata GoF'!S66*'Tillegg- Inndata GoF'!V66</f>
        <v>0</v>
      </c>
      <c r="Q68" s="333">
        <f>SUM(F68:J68,L68)*'Tillegg- Inndata GoF'!K66</f>
        <v>0</v>
      </c>
      <c r="R68" s="333">
        <f>(K68+M68)*'Tillegg- Inndata GoF'!K66</f>
        <v>0</v>
      </c>
      <c r="S68" s="333">
        <f>SUM(N68:P68)*'Tillegg- Inndata GoF'!K66</f>
        <v>0</v>
      </c>
      <c r="T68" s="334">
        <f>('Tillegg- Inndata GoF'!G66+'Tillegg- Inndata GoF'!O66+'Tillegg- Inndata GoF'!S66)*'Tillegg- Inndata GoF'!K66*Transport_utslipp_til_avfallshånderting_per_kg</f>
        <v>0</v>
      </c>
      <c r="U68" s="330">
        <f>IF('Tillegg- Inndata GoF'!E66 = 0, 0, 1.833*'Tillegg- Inndata GoF'!X66*'Tillegg- Inndata GoF'!K66*('Tillegg- Inndata GoF'!G66*('Tillegg- Inndata GoF'!L66*0.5+'Tillegg- Inndata GoF'!M66*0.8) + (12/44)*('Tillegg- Inndata GoF'!O66*'Tillegg- Inndata GoF'!Q66+'Tillegg- Inndata GoF'!S66*'Tillegg- Inndata GoF'!U66)))</f>
        <v>0</v>
      </c>
      <c r="V68" s="335">
        <f>IF('Tillegg- Inndata GoF'!G66 = 0, 0,  MAX(-SUM(F68:J68,L68)*'Tillegg- Inndata GoF'!L66, -0.114*IF('Tillegg- Inndata GoF'!H66 &gt; 49, _xlfn.XLOOKUP(49, År_etter_ferdigstillelse, karbon_opptak_faktor), _xlfn.XLOOKUP('Tillegg- Inndata GoF'!H66, År_etter_ferdigstillelse, karbon_opptak_faktor))*'Tillegg- Inndata GoF'!G66*'Tillegg- Inndata GoF'!L66*0.5))</f>
        <v>0</v>
      </c>
      <c r="W68" s="333">
        <f>IF('Tillegg- Inndata GoF'!G66=0,0,IF('Tillegg- Inndata GoF'!H66&gt;49,-0.064*'Tillegg- Inndata GoF'!G66*'Tillegg- Inndata GoF'!N66,-0.037*'Tillegg- Inndata GoF'!J66*'Tillegg- Inndata GoF'!N66))</f>
        <v>0</v>
      </c>
      <c r="X68" s="331" cm="1">
        <f t="array" ref="X68">IF(SUM(F68:J68,L68)=0, 0, SUM(F68:J68,L68)*(1+'Tillegg-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Y68" s="330" cm="1">
        <f t="array" ref="Y68">IF(X68=0, 0, SUM(K68,M68)*(1+'Tillegg-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Z68" s="336" cm="1">
        <f t="array" ref="Z68">IF(X68=0, 0, SUM(N68:P68)*(1+'Tillegg-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AA68" s="336" cm="1">
        <f t="array" ref="AA68">IF(X68=0, 0, ('Tillegg- Inndata GoF'!G66+'Tillegg- Inndata GoF'!O66+'Tillegg- Inndata GoF'!S66)*(1+'Tillegg- Inndata GoF'!K66)*Transport_utslipp_til_avfallshånderting_per_kg*IF('Tillegg- Inndata GoF'!H66&gt;50, 0, _xlfn.XLOOKUP('Tillegg- Inndata GoF'!H66, År_etter_ferdigstillelse, IF(VALUE(LEFT('Tillegg- Inndata GoF'!B66, 2))= 49, f_tid_x_f_tek_d_0_037_kumulativ, f_tid_x_f_tek_d_0_01_kumulativ))))</f>
        <v>0</v>
      </c>
      <c r="AB68" s="334" cm="1">
        <f t="array" ref="AB68">IF(X68=0, 0,1.833*'Tillegg- Inndata GoF'!J66*('Tillegg- Inndata GoF'!X66*_xlfn.XLOOKUP(IF('Tillegg- Inndata GoF'!I66&lt;2,'Tillegg- Inndata GoF'!H66,'Tillegg- Inndata GoF'!H66*2), År_etter_ferdigstillelse, Faktorer!$Z$7:$Z$58))*('Tillegg- Inndata GoF'!L66*0.5+'Tillegg- Inndata GoF'!M66*0.8)*_xlfn.XLOOKUP(IF('Tillegg- Inndata GoF'!I66&lt;2,'Tillegg- Inndata GoF'!H66,'Tillegg- Inndata GoF'!H66*2), År_etter_ferdigstillelse,  IF(LEFT('Tillegg- Inndata GoF'!B66, 2)= 49, f_tid_x_f_tek_d_0_037, f_tid_x_f_tek_d_0_01)))</f>
        <v>0</v>
      </c>
      <c r="AC68" s="335">
        <f>IF(('Tillegg- Inndata GoF'!G66) = 0, 0,(('Tillegg- Inndata GoF'!G66)*((AG68+AI68)*Transport_utslipp_til_avfallshånderting_per_kg)+('Tillegg- Inndata GoF'!Z66*'ZERO-B Beregning'!D168)*IF('ZERO-B Beregning'!F169=0,'ZERO-B Beregning'!D169,'ZERO-B Beregning'!F169))*_xlfn.XLOOKUP(51, År_etter_ferdigstillelse, f_tid_x_f_tek_d_0_01))</f>
        <v>0</v>
      </c>
      <c r="AD68" s="337">
        <f>IF(('Tillegg- Inndata GoF'!G66) = 0, 0,1.833*('Tillegg- Inndata GoF'!G66*('Tillegg- Inndata GoF'!L66*0.5+'Tillegg- Inndata GoF'!M66*0.8)*AG68*_xlfn.XLOOKUP(51, År_etter_ferdigstillelse,  f_tid_x_f_tek_d_0_01)))</f>
        <v>0</v>
      </c>
      <c r="AE68" s="333" cm="1">
        <f t="array" ref="AE68">IF(('Tillegg- Inndata GoF'!G66) = 0, 0,-0.8*('Tillegg- Inndata GoF'!G66)*AH68*('Tillegg- Inndata GoF'!E66/'Tillegg- Inndata GoF'!G66)*_xlfn.XLOOKUP(51, År_etter_ferdigstillelse,  IF(LEFT('Tillegg- Inndata GoF'!B66, 2)= 49, f_tid_x_f_tek_d_0_037, f_tid_x_f_tek_d_0_01)))</f>
        <v>0</v>
      </c>
      <c r="AF68" s="338" cm="1">
        <f t="array" ref="AF68">IF(('Tillegg- Inndata GoF'!G66) = 0, 0,-0.1*('Tillegg- Inndata GoF'!G66)*AI68*('Tillegg- Inndata GoF'!E66/'Tillegg- Inndata GoF'!G66)*_xlfn.XLOOKUP(51, År_etter_ferdigstillelse,  IF(LEFT('Tillegg- Inndata GoF'!B66, 2)= 49, f_tid_x_f_tek_d_0_037, f_tid_x_f_tek_d_0_01)))</f>
        <v>0</v>
      </c>
      <c r="AG68" s="572">
        <f>IF(('Tillegg- Inndata GoF'!G66) = 0, 0,'Tillegg- Inndata GoF'!X66*Faktorer!$Z$58)</f>
        <v>0</v>
      </c>
      <c r="AH68" s="573">
        <f>IF(('Tillegg- Inndata GoF'!G66) = 0, 0,'Tillegg- Inndata GoF'!Z66+('Tillegg- Inndata GoF'!X66+'Tillegg- Inndata GoF'!Y66)*(1-Faktorer!$Z$58)*0.5)</f>
        <v>0</v>
      </c>
      <c r="AI68" s="574">
        <f>IF(('Tillegg- Inndata GoF'!G66) = 0, 0,'Tillegg- Inndata GoF'!AA66+('Tillegg- Inndata GoF'!X66+'Tillegg- Inndata GoF'!Y66)*(1-Faktorer!$Z$58)*0.5)</f>
        <v>0</v>
      </c>
      <c r="AK68" s="90">
        <f t="shared" si="1"/>
        <v>0</v>
      </c>
      <c r="AL68" s="91">
        <f>'Tillegg- Res. detaljert GoF'!N68</f>
        <v>0</v>
      </c>
      <c r="AM68" s="91" t="str">
        <f>IF(F68=0,"",('Tillegg- Inndata GoF'!E68+'Tillegg- Inndata GoF'!F68)*ROUNDDOWN('Tillegg- Inndata GoF'!I68,0)*(1+'Tillegg- Inndata GoF'!K68))</f>
        <v/>
      </c>
    </row>
    <row r="69" spans="2:39">
      <c r="B69" s="327">
        <f>'Tillegg- Inndata GoF'!B67</f>
        <v>0</v>
      </c>
      <c r="C69" s="328">
        <f>'Tillegg- Inndata GoF'!C67</f>
        <v>0</v>
      </c>
      <c r="D69" s="329">
        <f>'Tillegg- Inndata GoF'!D67</f>
        <v>0</v>
      </c>
      <c r="E69" s="661" cm="1">
        <f t="array" ref="E69">SUM(IFERROR(F69:AF69,0))</f>
        <v>0</v>
      </c>
      <c r="F69" s="330">
        <f>'Tillegg- Inndata GoF'!E67</f>
        <v>0</v>
      </c>
      <c r="G69" s="330">
        <f>IF('Tillegg- Inndata GoF'!AB67="Ja", -0.8*'Tillegg- Res. detaljert GoF'!$F69, 0)</f>
        <v>0</v>
      </c>
      <c r="H69" s="330">
        <f>IF('Tillegg- Inndata GoF'!AC67="Ja", -0.4*'Tillegg- Res. detaljert GoF'!$F69, 0)</f>
        <v>0</v>
      </c>
      <c r="I69" s="330">
        <f>IF('Tillegg- Inndata GoF'!AD67="Ja", -1*'Tillegg- Res. detaljert GoF'!$F69, 0)</f>
        <v>0</v>
      </c>
      <c r="J69" s="330">
        <f>'Tillegg- Inndata GoF'!O67*'Tillegg- Inndata GoF'!P67</f>
        <v>0</v>
      </c>
      <c r="K69" s="330">
        <f>MAX(-0.75*(SUM('Tillegg- Res. detaljert GoF'!F69:J69)),-'Tillegg- Inndata GoF'!O67*'Tillegg- Inndata GoF'!Q67)</f>
        <v>0</v>
      </c>
      <c r="L69" s="330">
        <f>'Tillegg- Inndata GoF'!S67*'Tillegg- Inndata GoF'!T67</f>
        <v>0</v>
      </c>
      <c r="M69" s="330">
        <f>MAX(-0.75*(SUM('Tillegg- Res. detaljert GoF'!F69:I69,L69)),-'Tillegg- Inndata GoF'!S67*'Tillegg- Inndata GoF'!U67)</f>
        <v>0</v>
      </c>
      <c r="N69" s="331">
        <f>'Tillegg- Inndata GoF'!F67</f>
        <v>0</v>
      </c>
      <c r="O69" s="330">
        <f>'Tillegg- Inndata GoF'!O67*'Tillegg- Inndata GoF'!R67</f>
        <v>0</v>
      </c>
      <c r="P69" s="332">
        <f>'Tillegg- Inndata GoF'!S67*'Tillegg- Inndata GoF'!V67</f>
        <v>0</v>
      </c>
      <c r="Q69" s="333">
        <f>SUM(F69:J69,L69)*'Tillegg- Inndata GoF'!K67</f>
        <v>0</v>
      </c>
      <c r="R69" s="333">
        <f>(K69+M69)*'Tillegg- Inndata GoF'!K67</f>
        <v>0</v>
      </c>
      <c r="S69" s="333">
        <f>SUM(N69:P69)*'Tillegg- Inndata GoF'!K67</f>
        <v>0</v>
      </c>
      <c r="T69" s="334">
        <f>('Tillegg- Inndata GoF'!G67+'Tillegg- Inndata GoF'!O67+'Tillegg- Inndata GoF'!S67)*'Tillegg- Inndata GoF'!K67*Transport_utslipp_til_avfallshånderting_per_kg</f>
        <v>0</v>
      </c>
      <c r="U69" s="330">
        <f>IF('Tillegg- Inndata GoF'!E67 = 0, 0, 1.833*'Tillegg- Inndata GoF'!X67*'Tillegg- Inndata GoF'!K67*('Tillegg- Inndata GoF'!G67*('Tillegg- Inndata GoF'!L67*0.5+'Tillegg- Inndata GoF'!M67*0.8) + (12/44)*('Tillegg- Inndata GoF'!O67*'Tillegg- Inndata GoF'!Q67+'Tillegg- Inndata GoF'!S67*'Tillegg- Inndata GoF'!U67)))</f>
        <v>0</v>
      </c>
      <c r="V69" s="335">
        <f>IF('Tillegg- Inndata GoF'!G67 = 0, 0,  MAX(-SUM(F69:J69,L69)*'Tillegg- Inndata GoF'!L67, -0.114*IF('Tillegg- Inndata GoF'!H67 &gt; 49, _xlfn.XLOOKUP(49, År_etter_ferdigstillelse, karbon_opptak_faktor), _xlfn.XLOOKUP('Tillegg- Inndata GoF'!H67, År_etter_ferdigstillelse, karbon_opptak_faktor))*'Tillegg- Inndata GoF'!G67*'Tillegg- Inndata GoF'!L67*0.5))</f>
        <v>0</v>
      </c>
      <c r="W69" s="333">
        <f>IF('Tillegg- Inndata GoF'!G67=0,0,IF('Tillegg- Inndata GoF'!H67&gt;49,-0.064*'Tillegg- Inndata GoF'!G67*'Tillegg- Inndata GoF'!N67,-0.037*'Tillegg- Inndata GoF'!J67*'Tillegg- Inndata GoF'!N67))</f>
        <v>0</v>
      </c>
      <c r="X69" s="331" cm="1">
        <f t="array" ref="X69">IF(SUM(F69:J69,L69)=0, 0, SUM(F69:J69,L69)*(1+'Tillegg-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Y69" s="330" cm="1">
        <f t="array" ref="Y69">IF(X69=0, 0, SUM(K69,M69)*(1+'Tillegg-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Z69" s="336" cm="1">
        <f t="array" ref="Z69">IF(X69=0, 0, SUM(N69:P69)*(1+'Tillegg-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AA69" s="336" cm="1">
        <f t="array" ref="AA69">IF(X69=0, 0, ('Tillegg- Inndata GoF'!G67+'Tillegg- Inndata GoF'!O67+'Tillegg- Inndata GoF'!S67)*(1+'Tillegg- Inndata GoF'!K67)*Transport_utslipp_til_avfallshånderting_per_kg*IF('Tillegg- Inndata GoF'!H67&gt;50, 0, _xlfn.XLOOKUP('Tillegg- Inndata GoF'!H67, År_etter_ferdigstillelse, IF(VALUE(LEFT('Tillegg- Inndata GoF'!B67, 2))= 49, f_tid_x_f_tek_d_0_037_kumulativ, f_tid_x_f_tek_d_0_01_kumulativ))))</f>
        <v>0</v>
      </c>
      <c r="AB69" s="334" cm="1">
        <f t="array" ref="AB69">IF(X69=0, 0,1.833*'Tillegg- Inndata GoF'!J67*('Tillegg- Inndata GoF'!X67*_xlfn.XLOOKUP(IF('Tillegg- Inndata GoF'!I67&lt;2,'Tillegg- Inndata GoF'!H67,'Tillegg- Inndata GoF'!H67*2), År_etter_ferdigstillelse, Faktorer!$Z$7:$Z$58))*('Tillegg- Inndata GoF'!L67*0.5+'Tillegg- Inndata GoF'!M67*0.8)*_xlfn.XLOOKUP(IF('Tillegg- Inndata GoF'!I67&lt;2,'Tillegg- Inndata GoF'!H67,'Tillegg- Inndata GoF'!H67*2), År_etter_ferdigstillelse,  IF(LEFT('Tillegg- Inndata GoF'!B67, 2)= 49, f_tid_x_f_tek_d_0_037, f_tid_x_f_tek_d_0_01)))</f>
        <v>0</v>
      </c>
      <c r="AC69" s="335">
        <f>IF(('Tillegg- Inndata GoF'!G67) = 0, 0,(('Tillegg- Inndata GoF'!G67)*((AG69+AI69)*Transport_utslipp_til_avfallshånderting_per_kg)+('Tillegg- Inndata GoF'!Z67*'ZERO-B Beregning'!D169)*IF('ZERO-B Beregning'!F170=0,'ZERO-B Beregning'!D170,'ZERO-B Beregning'!F170))*_xlfn.XLOOKUP(51, År_etter_ferdigstillelse, f_tid_x_f_tek_d_0_01))</f>
        <v>0</v>
      </c>
      <c r="AD69" s="337">
        <f>IF(('Tillegg- Inndata GoF'!G67) = 0, 0,1.833*('Tillegg- Inndata GoF'!G67*('Tillegg- Inndata GoF'!L67*0.5+'Tillegg- Inndata GoF'!M67*0.8)*AG69*_xlfn.XLOOKUP(51, År_etter_ferdigstillelse,  f_tid_x_f_tek_d_0_01)))</f>
        <v>0</v>
      </c>
      <c r="AE69" s="333" cm="1">
        <f t="array" ref="AE69">IF(('Tillegg- Inndata GoF'!G67) = 0, 0,-0.8*('Tillegg- Inndata GoF'!G67)*AH69*('Tillegg- Inndata GoF'!E67/'Tillegg- Inndata GoF'!G67)*_xlfn.XLOOKUP(51, År_etter_ferdigstillelse,  IF(LEFT('Tillegg- Inndata GoF'!B67, 2)= 49, f_tid_x_f_tek_d_0_037, f_tid_x_f_tek_d_0_01)))</f>
        <v>0</v>
      </c>
      <c r="AF69" s="338" cm="1">
        <f t="array" ref="AF69">IF(('Tillegg- Inndata GoF'!G67) = 0, 0,-0.1*('Tillegg- Inndata GoF'!G67)*AI69*('Tillegg- Inndata GoF'!E67/'Tillegg- Inndata GoF'!G67)*_xlfn.XLOOKUP(51, År_etter_ferdigstillelse,  IF(LEFT('Tillegg- Inndata GoF'!B67, 2)= 49, f_tid_x_f_tek_d_0_037, f_tid_x_f_tek_d_0_01)))</f>
        <v>0</v>
      </c>
      <c r="AG69" s="572">
        <f>IF(('Tillegg- Inndata GoF'!G67) = 0, 0,'Tillegg- Inndata GoF'!X67*Faktorer!$Z$58)</f>
        <v>0</v>
      </c>
      <c r="AH69" s="573">
        <f>IF(('Tillegg- Inndata GoF'!G67) = 0, 0,'Tillegg- Inndata GoF'!Z67+('Tillegg- Inndata GoF'!X67+'Tillegg- Inndata GoF'!Y67)*(1-Faktorer!$Z$58)*0.5)</f>
        <v>0</v>
      </c>
      <c r="AI69" s="574">
        <f>IF(('Tillegg- Inndata GoF'!G67) = 0, 0,'Tillegg- Inndata GoF'!AA67+('Tillegg- Inndata GoF'!X67+'Tillegg- Inndata GoF'!Y67)*(1-Faktorer!$Z$58)*0.5)</f>
        <v>0</v>
      </c>
      <c r="AK69" s="90">
        <f t="shared" si="1"/>
        <v>0</v>
      </c>
      <c r="AL69" s="91">
        <f>'Tillegg- Res. detaljert GoF'!N69</f>
        <v>0</v>
      </c>
      <c r="AM69" s="91" t="str">
        <f>IF(F69=0,"",('Tillegg- Inndata GoF'!E69+'Tillegg- Inndata GoF'!F69)*ROUNDDOWN('Tillegg- Inndata GoF'!I69,0)*(1+'Tillegg- Inndata GoF'!K69))</f>
        <v/>
      </c>
    </row>
    <row r="70" spans="2:39">
      <c r="B70" s="327">
        <f>'Tillegg- Inndata GoF'!B68</f>
        <v>0</v>
      </c>
      <c r="C70" s="328">
        <f>'Tillegg- Inndata GoF'!C68</f>
        <v>0</v>
      </c>
      <c r="D70" s="329">
        <f>'Tillegg- Inndata GoF'!D68</f>
        <v>0</v>
      </c>
      <c r="E70" s="661" cm="1">
        <f t="array" ref="E70">SUM(IFERROR(F70:AF70,0))</f>
        <v>0</v>
      </c>
      <c r="F70" s="330">
        <f>'Tillegg- Inndata GoF'!E68</f>
        <v>0</v>
      </c>
      <c r="G70" s="330">
        <f>IF('Tillegg- Inndata GoF'!AB68="Ja", -0.8*'Tillegg- Res. detaljert GoF'!$F70, 0)</f>
        <v>0</v>
      </c>
      <c r="H70" s="330">
        <f>IF('Tillegg- Inndata GoF'!AC68="Ja", -0.4*'Tillegg- Res. detaljert GoF'!$F70, 0)</f>
        <v>0</v>
      </c>
      <c r="I70" s="330">
        <f>IF('Tillegg- Inndata GoF'!AD68="Ja", -1*'Tillegg- Res. detaljert GoF'!$F70, 0)</f>
        <v>0</v>
      </c>
      <c r="J70" s="330">
        <f>'Tillegg- Inndata GoF'!O68*'Tillegg- Inndata GoF'!P68</f>
        <v>0</v>
      </c>
      <c r="K70" s="330">
        <f>MAX(-0.75*(SUM('Tillegg- Res. detaljert GoF'!F70:J70)),-'Tillegg- Inndata GoF'!O68*'Tillegg- Inndata GoF'!Q68)</f>
        <v>0</v>
      </c>
      <c r="L70" s="330">
        <f>'Tillegg- Inndata GoF'!S68*'Tillegg- Inndata GoF'!T68</f>
        <v>0</v>
      </c>
      <c r="M70" s="330">
        <f>MAX(-0.75*(SUM('Tillegg- Res. detaljert GoF'!F70:I70,L70)),-'Tillegg- Inndata GoF'!S68*'Tillegg- Inndata GoF'!U68)</f>
        <v>0</v>
      </c>
      <c r="N70" s="331">
        <f>'Tillegg- Inndata GoF'!F68</f>
        <v>0</v>
      </c>
      <c r="O70" s="330">
        <f>'Tillegg- Inndata GoF'!O68*'Tillegg- Inndata GoF'!R68</f>
        <v>0</v>
      </c>
      <c r="P70" s="332">
        <f>'Tillegg- Inndata GoF'!S68*'Tillegg- Inndata GoF'!V68</f>
        <v>0</v>
      </c>
      <c r="Q70" s="333">
        <f>SUM(F70:J70,L70)*'Tillegg- Inndata GoF'!K68</f>
        <v>0</v>
      </c>
      <c r="R70" s="333">
        <f>(K70+M70)*'Tillegg- Inndata GoF'!K68</f>
        <v>0</v>
      </c>
      <c r="S70" s="333">
        <f>SUM(N70:P70)*'Tillegg- Inndata GoF'!K68</f>
        <v>0</v>
      </c>
      <c r="T70" s="334">
        <f>('Tillegg- Inndata GoF'!G68+'Tillegg- Inndata GoF'!O68+'Tillegg- Inndata GoF'!S68)*'Tillegg- Inndata GoF'!K68*Transport_utslipp_til_avfallshånderting_per_kg</f>
        <v>0</v>
      </c>
      <c r="U70" s="330">
        <f>IF('Tillegg- Inndata GoF'!E68 = 0, 0, 1.833*'Tillegg- Inndata GoF'!X68*'Tillegg- Inndata GoF'!K68*('Tillegg- Inndata GoF'!G68*('Tillegg- Inndata GoF'!L68*0.5+'Tillegg- Inndata GoF'!M68*0.8) + (12/44)*('Tillegg- Inndata GoF'!O68*'Tillegg- Inndata GoF'!Q68+'Tillegg- Inndata GoF'!S68*'Tillegg- Inndata GoF'!U68)))</f>
        <v>0</v>
      </c>
      <c r="V70" s="335">
        <f>IF('Tillegg- Inndata GoF'!G68 = 0, 0,  MAX(-SUM(F70:J70,L70)*'Tillegg- Inndata GoF'!L68, -0.114*IF('Tillegg- Inndata GoF'!H68 &gt; 49, _xlfn.XLOOKUP(49, År_etter_ferdigstillelse, karbon_opptak_faktor), _xlfn.XLOOKUP('Tillegg- Inndata GoF'!H68, År_etter_ferdigstillelse, karbon_opptak_faktor))*'Tillegg- Inndata GoF'!G68*'Tillegg- Inndata GoF'!L68*0.5))</f>
        <v>0</v>
      </c>
      <c r="W70" s="333">
        <f>IF('Tillegg- Inndata GoF'!G68=0,0,IF('Tillegg- Inndata GoF'!H68&gt;49,-0.064*'Tillegg- Inndata GoF'!G68*'Tillegg- Inndata GoF'!N68,-0.037*'Tillegg- Inndata GoF'!J68*'Tillegg- Inndata GoF'!N68))</f>
        <v>0</v>
      </c>
      <c r="X70" s="331" cm="1">
        <f t="array" ref="X70">IF(SUM(F70:J70,L70)=0, 0, SUM(F70:J70,L70)*(1+'Tillegg-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Y70" s="330" cm="1">
        <f t="array" ref="Y70">IF(X70=0, 0, SUM(K70,M70)*(1+'Tillegg-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Z70" s="336" cm="1">
        <f t="array" ref="Z70">IF(X70=0, 0, SUM(N70:P70)*(1+'Tillegg-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AA70" s="336" cm="1">
        <f t="array" ref="AA70">IF(X70=0, 0, ('Tillegg- Inndata GoF'!G68+'Tillegg- Inndata GoF'!O68+'Tillegg- Inndata GoF'!S68)*(1+'Tillegg- Inndata GoF'!K68)*Transport_utslipp_til_avfallshånderting_per_kg*IF('Tillegg- Inndata GoF'!H68&gt;50, 0, _xlfn.XLOOKUP('Tillegg- Inndata GoF'!H68, År_etter_ferdigstillelse, IF(VALUE(LEFT('Tillegg- Inndata GoF'!B68, 2))= 49, f_tid_x_f_tek_d_0_037_kumulativ, f_tid_x_f_tek_d_0_01_kumulativ))))</f>
        <v>0</v>
      </c>
      <c r="AB70" s="334" cm="1">
        <f t="array" ref="AB70">IF(X70=0, 0,1.833*'Tillegg- Inndata GoF'!J68*('Tillegg- Inndata GoF'!X68*_xlfn.XLOOKUP(IF('Tillegg- Inndata GoF'!I68&lt;2,'Tillegg- Inndata GoF'!H68,'Tillegg- Inndata GoF'!H68*2), År_etter_ferdigstillelse, Faktorer!$Z$7:$Z$58))*('Tillegg- Inndata GoF'!L68*0.5+'Tillegg- Inndata GoF'!M68*0.8)*_xlfn.XLOOKUP(IF('Tillegg- Inndata GoF'!I68&lt;2,'Tillegg- Inndata GoF'!H68,'Tillegg- Inndata GoF'!H68*2), År_etter_ferdigstillelse,  IF(LEFT('Tillegg- Inndata GoF'!B68, 2)= 49, f_tid_x_f_tek_d_0_037, f_tid_x_f_tek_d_0_01)))</f>
        <v>0</v>
      </c>
      <c r="AC70" s="335">
        <f>IF(('Tillegg- Inndata GoF'!G68) = 0, 0,(('Tillegg- Inndata GoF'!G68)*((AG70+AI70)*Transport_utslipp_til_avfallshånderting_per_kg)+('Tillegg- Inndata GoF'!Z68*'ZERO-B Beregning'!D170)*IF('ZERO-B Beregning'!F171=0,'ZERO-B Beregning'!D171,'ZERO-B Beregning'!F171))*_xlfn.XLOOKUP(51, År_etter_ferdigstillelse, f_tid_x_f_tek_d_0_01))</f>
        <v>0</v>
      </c>
      <c r="AD70" s="337">
        <f>IF(('Tillegg- Inndata GoF'!G68) = 0, 0,1.833*('Tillegg- Inndata GoF'!G68*('Tillegg- Inndata GoF'!L68*0.5+'Tillegg- Inndata GoF'!M68*0.8)*AG70*_xlfn.XLOOKUP(51, År_etter_ferdigstillelse,  f_tid_x_f_tek_d_0_01)))</f>
        <v>0</v>
      </c>
      <c r="AE70" s="333" cm="1">
        <f t="array" ref="AE70">IF(('Tillegg- Inndata GoF'!G68) = 0, 0,-0.8*('Tillegg- Inndata GoF'!G68)*AH70*('Tillegg- Inndata GoF'!E68/'Tillegg- Inndata GoF'!G68)*_xlfn.XLOOKUP(51, År_etter_ferdigstillelse,  IF(LEFT('Tillegg- Inndata GoF'!B68, 2)= 49, f_tid_x_f_tek_d_0_037, f_tid_x_f_tek_d_0_01)))</f>
        <v>0</v>
      </c>
      <c r="AF70" s="338" cm="1">
        <f t="array" ref="AF70">IF(('Tillegg- Inndata GoF'!G68) = 0, 0,-0.1*('Tillegg- Inndata GoF'!G68)*AI70*('Tillegg- Inndata GoF'!E68/'Tillegg- Inndata GoF'!G68)*_xlfn.XLOOKUP(51, År_etter_ferdigstillelse,  IF(LEFT('Tillegg- Inndata GoF'!B68, 2)= 49, f_tid_x_f_tek_d_0_037, f_tid_x_f_tek_d_0_01)))</f>
        <v>0</v>
      </c>
      <c r="AG70" s="572">
        <f>IF(('Tillegg- Inndata GoF'!G68) = 0, 0,'Tillegg- Inndata GoF'!X68*Faktorer!$Z$58)</f>
        <v>0</v>
      </c>
      <c r="AH70" s="573">
        <f>IF(('Tillegg- Inndata GoF'!G68) = 0, 0,'Tillegg- Inndata GoF'!Z68+('Tillegg- Inndata GoF'!X68+'Tillegg- Inndata GoF'!Y68)*(1-Faktorer!$Z$58)*0.5)</f>
        <v>0</v>
      </c>
      <c r="AI70" s="574">
        <f>IF(('Tillegg- Inndata GoF'!G68) = 0, 0,'Tillegg- Inndata GoF'!AA68+('Tillegg- Inndata GoF'!X68+'Tillegg- Inndata GoF'!Y68)*(1-Faktorer!$Z$58)*0.5)</f>
        <v>0</v>
      </c>
      <c r="AK70" s="90">
        <f t="shared" si="1"/>
        <v>0</v>
      </c>
      <c r="AL70" s="91">
        <f>'Tillegg- Res. detaljert GoF'!N70</f>
        <v>0</v>
      </c>
      <c r="AM70" s="91" t="str">
        <f>IF(F70=0,"",('Tillegg- Inndata GoF'!E70+'Tillegg- Inndata GoF'!F70)*ROUNDDOWN('Tillegg- Inndata GoF'!I70,0)*(1+'Tillegg- Inndata GoF'!K70))</f>
        <v/>
      </c>
    </row>
    <row r="71" spans="2:39">
      <c r="B71" s="327">
        <f>'Tillegg- Inndata GoF'!B69</f>
        <v>0</v>
      </c>
      <c r="C71" s="328">
        <f>'Tillegg- Inndata GoF'!C69</f>
        <v>0</v>
      </c>
      <c r="D71" s="329">
        <f>'Tillegg- Inndata GoF'!D69</f>
        <v>0</v>
      </c>
      <c r="E71" s="661" cm="1">
        <f t="array" ref="E71">SUM(IFERROR(F71:AF71,0))</f>
        <v>0</v>
      </c>
      <c r="F71" s="330">
        <f>'Tillegg- Inndata GoF'!E69</f>
        <v>0</v>
      </c>
      <c r="G71" s="330">
        <f>IF('Tillegg- Inndata GoF'!AB69="Ja", -0.8*'Tillegg- Res. detaljert GoF'!$F71, 0)</f>
        <v>0</v>
      </c>
      <c r="H71" s="330">
        <f>IF('Tillegg- Inndata GoF'!AC69="Ja", -0.4*'Tillegg- Res. detaljert GoF'!$F71, 0)</f>
        <v>0</v>
      </c>
      <c r="I71" s="330">
        <f>IF('Tillegg- Inndata GoF'!AD69="Ja", -1*'Tillegg- Res. detaljert GoF'!$F71, 0)</f>
        <v>0</v>
      </c>
      <c r="J71" s="330">
        <f>'Tillegg- Inndata GoF'!O69*'Tillegg- Inndata GoF'!P69</f>
        <v>0</v>
      </c>
      <c r="K71" s="330">
        <f>MAX(-0.75*(SUM('Tillegg- Res. detaljert GoF'!F71:J71)),-'Tillegg- Inndata GoF'!O69*'Tillegg- Inndata GoF'!Q69)</f>
        <v>0</v>
      </c>
      <c r="L71" s="330">
        <f>'Tillegg- Inndata GoF'!S69*'Tillegg- Inndata GoF'!T69</f>
        <v>0</v>
      </c>
      <c r="M71" s="330">
        <f>MAX(-0.75*(SUM('Tillegg- Res. detaljert GoF'!F71:I71,L71)),-'Tillegg- Inndata GoF'!S69*'Tillegg- Inndata GoF'!U69)</f>
        <v>0</v>
      </c>
      <c r="N71" s="331">
        <f>'Tillegg- Inndata GoF'!F69</f>
        <v>0</v>
      </c>
      <c r="O71" s="330">
        <f>'Tillegg- Inndata GoF'!O69*'Tillegg- Inndata GoF'!R69</f>
        <v>0</v>
      </c>
      <c r="P71" s="332">
        <f>'Tillegg- Inndata GoF'!S69*'Tillegg- Inndata GoF'!V69</f>
        <v>0</v>
      </c>
      <c r="Q71" s="333">
        <f>SUM(F71:J71,L71)*'Tillegg- Inndata GoF'!K69</f>
        <v>0</v>
      </c>
      <c r="R71" s="333">
        <f>(K71+M71)*'Tillegg- Inndata GoF'!K69</f>
        <v>0</v>
      </c>
      <c r="S71" s="333">
        <f>SUM(N71:P71)*'Tillegg- Inndata GoF'!K69</f>
        <v>0</v>
      </c>
      <c r="T71" s="334">
        <f>('Tillegg- Inndata GoF'!G69+'Tillegg- Inndata GoF'!O69+'Tillegg- Inndata GoF'!S69)*'Tillegg- Inndata GoF'!K69*Transport_utslipp_til_avfallshånderting_per_kg</f>
        <v>0</v>
      </c>
      <c r="U71" s="330">
        <f>IF('Tillegg- Inndata GoF'!E69 = 0, 0, 1.833*'Tillegg- Inndata GoF'!X69*'Tillegg- Inndata GoF'!K69*('Tillegg- Inndata GoF'!G69*('Tillegg- Inndata GoF'!L69*0.5+'Tillegg- Inndata GoF'!M69*0.8) + (12/44)*('Tillegg- Inndata GoF'!O69*'Tillegg- Inndata GoF'!Q69+'Tillegg- Inndata GoF'!S69*'Tillegg- Inndata GoF'!U69)))</f>
        <v>0</v>
      </c>
      <c r="V71" s="335">
        <f>IF('Tillegg- Inndata GoF'!G69 = 0, 0,  MAX(-SUM(F71:J71,L71)*'Tillegg- Inndata GoF'!L69, -0.114*IF('Tillegg- Inndata GoF'!H69 &gt; 49, _xlfn.XLOOKUP(49, År_etter_ferdigstillelse, karbon_opptak_faktor), _xlfn.XLOOKUP('Tillegg- Inndata GoF'!H69, År_etter_ferdigstillelse, karbon_opptak_faktor))*'Tillegg- Inndata GoF'!G69*'Tillegg- Inndata GoF'!L69*0.5))</f>
        <v>0</v>
      </c>
      <c r="W71" s="333">
        <f>IF('Tillegg- Inndata GoF'!G69=0,0,IF('Tillegg- Inndata GoF'!H69&gt;49,-0.064*'Tillegg- Inndata GoF'!G69*'Tillegg- Inndata GoF'!N69,-0.037*'Tillegg- Inndata GoF'!J69*'Tillegg- Inndata GoF'!N69))</f>
        <v>0</v>
      </c>
      <c r="X71" s="331" cm="1">
        <f t="array" ref="X71">IF(SUM(F71:J71,L71)=0, 0, SUM(F71:J71,L71)*(1+'Tillegg-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Y71" s="330" cm="1">
        <f t="array" ref="Y71">IF(X71=0, 0, SUM(K71,M71)*(1+'Tillegg-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Z71" s="336" cm="1">
        <f t="array" ref="Z71">IF(X71=0, 0, SUM(N71:P71)*(1+'Tillegg-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AA71" s="336" cm="1">
        <f t="array" ref="AA71">IF(X71=0, 0, ('Tillegg- Inndata GoF'!G69+'Tillegg- Inndata GoF'!O69+'Tillegg- Inndata GoF'!S69)*(1+'Tillegg- Inndata GoF'!K69)*Transport_utslipp_til_avfallshånderting_per_kg*IF('Tillegg- Inndata GoF'!H69&gt;50, 0, _xlfn.XLOOKUP('Tillegg- Inndata GoF'!H69, År_etter_ferdigstillelse, IF(VALUE(LEFT('Tillegg- Inndata GoF'!B69, 2))= 49, f_tid_x_f_tek_d_0_037_kumulativ, f_tid_x_f_tek_d_0_01_kumulativ))))</f>
        <v>0</v>
      </c>
      <c r="AB71" s="334" cm="1">
        <f t="array" ref="AB71">IF(X71=0, 0,1.833*'Tillegg- Inndata GoF'!J69*('Tillegg- Inndata GoF'!X69*_xlfn.XLOOKUP(IF('Tillegg- Inndata GoF'!I69&lt;2,'Tillegg- Inndata GoF'!H69,'Tillegg- Inndata GoF'!H69*2), År_etter_ferdigstillelse, Faktorer!$Z$7:$Z$58))*('Tillegg- Inndata GoF'!L69*0.5+'Tillegg- Inndata GoF'!M69*0.8)*_xlfn.XLOOKUP(IF('Tillegg- Inndata GoF'!I69&lt;2,'Tillegg- Inndata GoF'!H69,'Tillegg- Inndata GoF'!H69*2), År_etter_ferdigstillelse,  IF(LEFT('Tillegg- Inndata GoF'!B69, 2)= 49, f_tid_x_f_tek_d_0_037, f_tid_x_f_tek_d_0_01)))</f>
        <v>0</v>
      </c>
      <c r="AC71" s="335">
        <f>IF(('Tillegg- Inndata GoF'!G69) = 0, 0,(('Tillegg- Inndata GoF'!G69)*((AG71+AI71)*Transport_utslipp_til_avfallshånderting_per_kg)+('Tillegg- Inndata GoF'!Z69*'ZERO-B Beregning'!D171)*IF('ZERO-B Beregning'!F172=0,'ZERO-B Beregning'!D172,'ZERO-B Beregning'!F172))*_xlfn.XLOOKUP(51, År_etter_ferdigstillelse, f_tid_x_f_tek_d_0_01))</f>
        <v>0</v>
      </c>
      <c r="AD71" s="337">
        <f>IF(('Tillegg- Inndata GoF'!G69) = 0, 0,1.833*('Tillegg- Inndata GoF'!G69*('Tillegg- Inndata GoF'!L69*0.5+'Tillegg- Inndata GoF'!M69*0.8)*AG71*_xlfn.XLOOKUP(51, År_etter_ferdigstillelse,  f_tid_x_f_tek_d_0_01)))</f>
        <v>0</v>
      </c>
      <c r="AE71" s="333" cm="1">
        <f t="array" ref="AE71">IF(('Tillegg- Inndata GoF'!G69) = 0, 0,-0.8*('Tillegg- Inndata GoF'!G69)*AH71*('Tillegg- Inndata GoF'!E69/'Tillegg- Inndata GoF'!G69)*_xlfn.XLOOKUP(51, År_etter_ferdigstillelse,  IF(LEFT('Tillegg- Inndata GoF'!B69, 2)= 49, f_tid_x_f_tek_d_0_037, f_tid_x_f_tek_d_0_01)))</f>
        <v>0</v>
      </c>
      <c r="AF71" s="338" cm="1">
        <f t="array" ref="AF71">IF(('Tillegg- Inndata GoF'!G69) = 0, 0,-0.1*('Tillegg- Inndata GoF'!G69)*AI71*('Tillegg- Inndata GoF'!E69/'Tillegg- Inndata GoF'!G69)*_xlfn.XLOOKUP(51, År_etter_ferdigstillelse,  IF(LEFT('Tillegg- Inndata GoF'!B69, 2)= 49, f_tid_x_f_tek_d_0_037, f_tid_x_f_tek_d_0_01)))</f>
        <v>0</v>
      </c>
      <c r="AG71" s="572">
        <f>IF(('Tillegg- Inndata GoF'!G69) = 0, 0,'Tillegg- Inndata GoF'!X69*Faktorer!$Z$58)</f>
        <v>0</v>
      </c>
      <c r="AH71" s="573">
        <f>IF(('Tillegg- Inndata GoF'!G69) = 0, 0,'Tillegg- Inndata GoF'!Z69+('Tillegg- Inndata GoF'!X69+'Tillegg- Inndata GoF'!Y69)*(1-Faktorer!$Z$58)*0.5)</f>
        <v>0</v>
      </c>
      <c r="AI71" s="574">
        <f>IF(('Tillegg- Inndata GoF'!G69) = 0, 0,'Tillegg- Inndata GoF'!AA69+('Tillegg- Inndata GoF'!X69+'Tillegg- Inndata GoF'!Y69)*(1-Faktorer!$Z$58)*0.5)</f>
        <v>0</v>
      </c>
      <c r="AK71" s="90">
        <f t="shared" si="1"/>
        <v>0</v>
      </c>
      <c r="AL71" s="91">
        <f>'Tillegg- Res. detaljert GoF'!N71</f>
        <v>0</v>
      </c>
      <c r="AM71" s="91" t="str">
        <f>IF(F71=0,"",('Tillegg- Inndata GoF'!E71+'Tillegg- Inndata GoF'!F71)*ROUNDDOWN('Tillegg- Inndata GoF'!I71,0)*(1+'Tillegg- Inndata GoF'!K71))</f>
        <v/>
      </c>
    </row>
    <row r="72" spans="2:39">
      <c r="B72" s="327">
        <f>'Tillegg- Inndata GoF'!B70</f>
        <v>0</v>
      </c>
      <c r="C72" s="328">
        <f>'Tillegg- Inndata GoF'!C70</f>
        <v>0</v>
      </c>
      <c r="D72" s="329">
        <f>'Tillegg- Inndata GoF'!D70</f>
        <v>0</v>
      </c>
      <c r="E72" s="661" cm="1">
        <f t="array" ref="E72">SUM(IFERROR(F72:AF72,0))</f>
        <v>0</v>
      </c>
      <c r="F72" s="330">
        <f>'Tillegg- Inndata GoF'!E70</f>
        <v>0</v>
      </c>
      <c r="G72" s="330">
        <f>IF('Tillegg- Inndata GoF'!AB70="Ja", -0.8*'Tillegg- Res. detaljert GoF'!$F72, 0)</f>
        <v>0</v>
      </c>
      <c r="H72" s="330">
        <f>IF('Tillegg- Inndata GoF'!AC70="Ja", -0.4*'Tillegg- Res. detaljert GoF'!$F72, 0)</f>
        <v>0</v>
      </c>
      <c r="I72" s="330">
        <f>IF('Tillegg- Inndata GoF'!AD70="Ja", -1*'Tillegg- Res. detaljert GoF'!$F72, 0)</f>
        <v>0</v>
      </c>
      <c r="J72" s="330">
        <f>'Tillegg- Inndata GoF'!O70*'Tillegg- Inndata GoF'!P70</f>
        <v>0</v>
      </c>
      <c r="K72" s="330">
        <f>MAX(-0.75*(SUM('Tillegg- Res. detaljert GoF'!F72:J72)),-'Tillegg- Inndata GoF'!O70*'Tillegg- Inndata GoF'!Q70)</f>
        <v>0</v>
      </c>
      <c r="L72" s="330">
        <f>'Tillegg- Inndata GoF'!S70*'Tillegg- Inndata GoF'!T70</f>
        <v>0</v>
      </c>
      <c r="M72" s="330">
        <f>MAX(-0.75*(SUM('Tillegg- Res. detaljert GoF'!F72:I72,L72)),-'Tillegg- Inndata GoF'!S70*'Tillegg- Inndata GoF'!U70)</f>
        <v>0</v>
      </c>
      <c r="N72" s="331">
        <f>'Tillegg- Inndata GoF'!F70</f>
        <v>0</v>
      </c>
      <c r="O72" s="330">
        <f>'Tillegg- Inndata GoF'!O70*'Tillegg- Inndata GoF'!R70</f>
        <v>0</v>
      </c>
      <c r="P72" s="332">
        <f>'Tillegg- Inndata GoF'!S70*'Tillegg- Inndata GoF'!V70</f>
        <v>0</v>
      </c>
      <c r="Q72" s="333">
        <f>SUM(F72:J72,L72)*'Tillegg- Inndata GoF'!K70</f>
        <v>0</v>
      </c>
      <c r="R72" s="333">
        <f>(K72+M72)*'Tillegg- Inndata GoF'!K70</f>
        <v>0</v>
      </c>
      <c r="S72" s="333">
        <f>SUM(N72:P72)*'Tillegg- Inndata GoF'!K70</f>
        <v>0</v>
      </c>
      <c r="T72" s="334">
        <f>('Tillegg- Inndata GoF'!G70+'Tillegg- Inndata GoF'!O70+'Tillegg- Inndata GoF'!S70)*'Tillegg- Inndata GoF'!K70*Transport_utslipp_til_avfallshånderting_per_kg</f>
        <v>0</v>
      </c>
      <c r="U72" s="330">
        <f>IF('Tillegg- Inndata GoF'!E70 = 0, 0, 1.833*'Tillegg- Inndata GoF'!X70*'Tillegg- Inndata GoF'!K70*('Tillegg- Inndata GoF'!G70*('Tillegg- Inndata GoF'!L70*0.5+'Tillegg- Inndata GoF'!M70*0.8) + (12/44)*('Tillegg- Inndata GoF'!O70*'Tillegg- Inndata GoF'!Q70+'Tillegg- Inndata GoF'!S70*'Tillegg- Inndata GoF'!U70)))</f>
        <v>0</v>
      </c>
      <c r="V72" s="335">
        <f>IF('Tillegg- Inndata GoF'!G70 = 0, 0,  MAX(-SUM(F72:J72,L72)*'Tillegg- Inndata GoF'!L70, -0.114*IF('Tillegg- Inndata GoF'!H70 &gt; 49, _xlfn.XLOOKUP(49, År_etter_ferdigstillelse, karbon_opptak_faktor), _xlfn.XLOOKUP('Tillegg- Inndata GoF'!H70, År_etter_ferdigstillelse, karbon_opptak_faktor))*'Tillegg- Inndata GoF'!G70*'Tillegg- Inndata GoF'!L70*0.5))</f>
        <v>0</v>
      </c>
      <c r="W72" s="333">
        <f>IF('Tillegg- Inndata GoF'!G70=0,0,IF('Tillegg- Inndata GoF'!H70&gt;49,-0.064*'Tillegg- Inndata GoF'!G70*'Tillegg- Inndata GoF'!N70,-0.037*'Tillegg- Inndata GoF'!J70*'Tillegg- Inndata GoF'!N70))</f>
        <v>0</v>
      </c>
      <c r="X72" s="331" cm="1">
        <f t="array" ref="X72">IF(SUM(F72:J72,L72)=0, 0, SUM(F72:J72,L72)*(1+'Tillegg-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Y72" s="330" cm="1">
        <f t="array" ref="Y72">IF(X72=0, 0, SUM(K72,M72)*(1+'Tillegg-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Z72" s="336" cm="1">
        <f t="array" ref="Z72">IF(X72=0, 0, SUM(N72:P72)*(1+'Tillegg-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AA72" s="336" cm="1">
        <f t="array" ref="AA72">IF(X72=0, 0, ('Tillegg- Inndata GoF'!G70+'Tillegg- Inndata GoF'!O70+'Tillegg- Inndata GoF'!S70)*(1+'Tillegg- Inndata GoF'!K70)*Transport_utslipp_til_avfallshånderting_per_kg*IF('Tillegg- Inndata GoF'!H70&gt;50, 0, _xlfn.XLOOKUP('Tillegg- Inndata GoF'!H70, År_etter_ferdigstillelse, IF(VALUE(LEFT('Tillegg- Inndata GoF'!B70, 2))= 49, f_tid_x_f_tek_d_0_037_kumulativ, f_tid_x_f_tek_d_0_01_kumulativ))))</f>
        <v>0</v>
      </c>
      <c r="AB72" s="334" cm="1">
        <f t="array" ref="AB72">IF(X72=0, 0,1.833*'Tillegg- Inndata GoF'!J70*('Tillegg- Inndata GoF'!X70*_xlfn.XLOOKUP(IF('Tillegg- Inndata GoF'!I70&lt;2,'Tillegg- Inndata GoF'!H70,'Tillegg- Inndata GoF'!H70*2), År_etter_ferdigstillelse, Faktorer!$Z$7:$Z$58))*('Tillegg- Inndata GoF'!L70*0.5+'Tillegg- Inndata GoF'!M70*0.8)*_xlfn.XLOOKUP(IF('Tillegg- Inndata GoF'!I70&lt;2,'Tillegg- Inndata GoF'!H70,'Tillegg- Inndata GoF'!H70*2), År_etter_ferdigstillelse,  IF(LEFT('Tillegg- Inndata GoF'!B70, 2)= 49, f_tid_x_f_tek_d_0_037, f_tid_x_f_tek_d_0_01)))</f>
        <v>0</v>
      </c>
      <c r="AC72" s="335">
        <f>IF(('Tillegg- Inndata GoF'!G70) = 0, 0,(('Tillegg- Inndata GoF'!G70)*((AG72+AI72)*Transport_utslipp_til_avfallshånderting_per_kg)+('Tillegg- Inndata GoF'!Z70*'ZERO-B Beregning'!D172)*IF('ZERO-B Beregning'!F173=0,'ZERO-B Beregning'!D173,'ZERO-B Beregning'!F173))*_xlfn.XLOOKUP(51, År_etter_ferdigstillelse, f_tid_x_f_tek_d_0_01))</f>
        <v>0</v>
      </c>
      <c r="AD72" s="337">
        <f>IF(('Tillegg- Inndata GoF'!G70) = 0, 0,1.833*('Tillegg- Inndata GoF'!G70*('Tillegg- Inndata GoF'!L70*0.5+'Tillegg- Inndata GoF'!M70*0.8)*AG72*_xlfn.XLOOKUP(51, År_etter_ferdigstillelse,  f_tid_x_f_tek_d_0_01)))</f>
        <v>0</v>
      </c>
      <c r="AE72" s="333" cm="1">
        <f t="array" ref="AE72">IF(('Tillegg- Inndata GoF'!G70) = 0, 0,-0.8*('Tillegg- Inndata GoF'!G70)*AH72*('Tillegg- Inndata GoF'!E70/'Tillegg- Inndata GoF'!G70)*_xlfn.XLOOKUP(51, År_etter_ferdigstillelse,  IF(LEFT('Tillegg- Inndata GoF'!B70, 2)= 49, f_tid_x_f_tek_d_0_037, f_tid_x_f_tek_d_0_01)))</f>
        <v>0</v>
      </c>
      <c r="AF72" s="338" cm="1">
        <f t="array" ref="AF72">IF(('Tillegg- Inndata GoF'!G70) = 0, 0,-0.1*('Tillegg- Inndata GoF'!G70)*AI72*('Tillegg- Inndata GoF'!E70/'Tillegg- Inndata GoF'!G70)*_xlfn.XLOOKUP(51, År_etter_ferdigstillelse,  IF(LEFT('Tillegg- Inndata GoF'!B70, 2)= 49, f_tid_x_f_tek_d_0_037, f_tid_x_f_tek_d_0_01)))</f>
        <v>0</v>
      </c>
      <c r="AG72" s="572">
        <f>IF(('Tillegg- Inndata GoF'!G70) = 0, 0,'Tillegg- Inndata GoF'!X70*Faktorer!$Z$58)</f>
        <v>0</v>
      </c>
      <c r="AH72" s="573">
        <f>IF(('Tillegg- Inndata GoF'!G70) = 0, 0,'Tillegg- Inndata GoF'!Z70+('Tillegg- Inndata GoF'!X70+'Tillegg- Inndata GoF'!Y70)*(1-Faktorer!$Z$58)*0.5)</f>
        <v>0</v>
      </c>
      <c r="AI72" s="574">
        <f>IF(('Tillegg- Inndata GoF'!G70) = 0, 0,'Tillegg- Inndata GoF'!AA70+('Tillegg- Inndata GoF'!X70+'Tillegg- Inndata GoF'!Y70)*(1-Faktorer!$Z$58)*0.5)</f>
        <v>0</v>
      </c>
      <c r="AK72" s="90">
        <f t="shared" si="1"/>
        <v>0</v>
      </c>
      <c r="AL72" s="91">
        <f>'Tillegg- Res. detaljert GoF'!N72</f>
        <v>0</v>
      </c>
      <c r="AM72" s="91" t="str">
        <f>IF(F72=0,"",('Tillegg- Inndata GoF'!E72+'Tillegg- Inndata GoF'!F72)*ROUNDDOWN('Tillegg- Inndata GoF'!I72,0)*(1+'Tillegg- Inndata GoF'!K72))</f>
        <v/>
      </c>
    </row>
    <row r="73" spans="2:39">
      <c r="B73" s="327">
        <f>'Tillegg- Inndata GoF'!B71</f>
        <v>0</v>
      </c>
      <c r="C73" s="328">
        <f>'Tillegg- Inndata GoF'!C71</f>
        <v>0</v>
      </c>
      <c r="D73" s="329">
        <f>'Tillegg- Inndata GoF'!D71</f>
        <v>0</v>
      </c>
      <c r="E73" s="661" cm="1">
        <f t="array" ref="E73">SUM(IFERROR(F73:AF73,0))</f>
        <v>0</v>
      </c>
      <c r="F73" s="330">
        <f>'Tillegg- Inndata GoF'!E71</f>
        <v>0</v>
      </c>
      <c r="G73" s="330">
        <f>IF('Tillegg- Inndata GoF'!AB71="Ja", -0.8*'Tillegg- Res. detaljert GoF'!$F73, 0)</f>
        <v>0</v>
      </c>
      <c r="H73" s="330">
        <f>IF('Tillegg- Inndata GoF'!AC71="Ja", -0.4*'Tillegg- Res. detaljert GoF'!$F73, 0)</f>
        <v>0</v>
      </c>
      <c r="I73" s="330">
        <f>IF('Tillegg- Inndata GoF'!AD71="Ja", -1*'Tillegg- Res. detaljert GoF'!$F73, 0)</f>
        <v>0</v>
      </c>
      <c r="J73" s="330">
        <f>'Tillegg- Inndata GoF'!O71*'Tillegg- Inndata GoF'!P71</f>
        <v>0</v>
      </c>
      <c r="K73" s="330">
        <f>MAX(-0.75*(SUM('Tillegg- Res. detaljert GoF'!F73:J73)),-'Tillegg- Inndata GoF'!O71*'Tillegg- Inndata GoF'!Q71)</f>
        <v>0</v>
      </c>
      <c r="L73" s="330">
        <f>'Tillegg- Inndata GoF'!S71*'Tillegg- Inndata GoF'!T71</f>
        <v>0</v>
      </c>
      <c r="M73" s="330">
        <f>MAX(-0.75*(SUM('Tillegg- Res. detaljert GoF'!F73:I73,L73)),-'Tillegg- Inndata GoF'!S71*'Tillegg- Inndata GoF'!U71)</f>
        <v>0</v>
      </c>
      <c r="N73" s="331">
        <f>'Tillegg- Inndata GoF'!F71</f>
        <v>0</v>
      </c>
      <c r="O73" s="330">
        <f>'Tillegg- Inndata GoF'!O71*'Tillegg- Inndata GoF'!R71</f>
        <v>0</v>
      </c>
      <c r="P73" s="332">
        <f>'Tillegg- Inndata GoF'!S71*'Tillegg- Inndata GoF'!V71</f>
        <v>0</v>
      </c>
      <c r="Q73" s="333">
        <f>SUM(F73:J73,L73)*'Tillegg- Inndata GoF'!K71</f>
        <v>0</v>
      </c>
      <c r="R73" s="333">
        <f>(K73+M73)*'Tillegg- Inndata GoF'!K71</f>
        <v>0</v>
      </c>
      <c r="S73" s="333">
        <f>SUM(N73:P73)*'Tillegg- Inndata GoF'!K71</f>
        <v>0</v>
      </c>
      <c r="T73" s="334">
        <f>('Tillegg- Inndata GoF'!G71+'Tillegg- Inndata GoF'!O71+'Tillegg- Inndata GoF'!S71)*'Tillegg- Inndata GoF'!K71*Transport_utslipp_til_avfallshånderting_per_kg</f>
        <v>0</v>
      </c>
      <c r="U73" s="330">
        <f>IF('Tillegg- Inndata GoF'!E71 = 0, 0, 1.833*'Tillegg- Inndata GoF'!X71*'Tillegg- Inndata GoF'!K71*('Tillegg- Inndata GoF'!G71*('Tillegg- Inndata GoF'!L71*0.5+'Tillegg- Inndata GoF'!M71*0.8) + (12/44)*('Tillegg- Inndata GoF'!O71*'Tillegg- Inndata GoF'!Q71+'Tillegg- Inndata GoF'!S71*'Tillegg- Inndata GoF'!U71)))</f>
        <v>0</v>
      </c>
      <c r="V73" s="335">
        <f>IF('Tillegg- Inndata GoF'!G71 = 0, 0,  MAX(-SUM(F73:J73,L73)*'Tillegg- Inndata GoF'!L71, -0.114*IF('Tillegg- Inndata GoF'!H71 &gt; 49, _xlfn.XLOOKUP(49, År_etter_ferdigstillelse, karbon_opptak_faktor), _xlfn.XLOOKUP('Tillegg- Inndata GoF'!H71, År_etter_ferdigstillelse, karbon_opptak_faktor))*'Tillegg- Inndata GoF'!G71*'Tillegg- Inndata GoF'!L71*0.5))</f>
        <v>0</v>
      </c>
      <c r="W73" s="333">
        <f>IF('Tillegg- Inndata GoF'!G71=0,0,IF('Tillegg- Inndata GoF'!H71&gt;49,-0.064*'Tillegg- Inndata GoF'!G71*'Tillegg- Inndata GoF'!N71,-0.037*'Tillegg- Inndata GoF'!J71*'Tillegg- Inndata GoF'!N71))</f>
        <v>0</v>
      </c>
      <c r="X73" s="331" cm="1">
        <f t="array" ref="X73">IF(SUM(F73:J73,L73)=0, 0, SUM(F73:J73,L73)*(1+'Tillegg-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Y73" s="330" cm="1">
        <f t="array" ref="Y73">IF(X73=0, 0, SUM(K73,M73)*(1+'Tillegg-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Z73" s="336" cm="1">
        <f t="array" ref="Z73">IF(X73=0, 0, SUM(N73:P73)*(1+'Tillegg-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AA73" s="336" cm="1">
        <f t="array" ref="AA73">IF(X73=0, 0, ('Tillegg- Inndata GoF'!G71+'Tillegg- Inndata GoF'!O71+'Tillegg- Inndata GoF'!S71)*(1+'Tillegg- Inndata GoF'!K71)*Transport_utslipp_til_avfallshånderting_per_kg*IF('Tillegg- Inndata GoF'!H71&gt;50, 0, _xlfn.XLOOKUP('Tillegg- Inndata GoF'!H71, År_etter_ferdigstillelse, IF(VALUE(LEFT('Tillegg- Inndata GoF'!B71, 2))= 49, f_tid_x_f_tek_d_0_037_kumulativ, f_tid_x_f_tek_d_0_01_kumulativ))))</f>
        <v>0</v>
      </c>
      <c r="AB73" s="334" cm="1">
        <f t="array" ref="AB73">IF(X73=0, 0,1.833*'Tillegg- Inndata GoF'!J71*('Tillegg- Inndata GoF'!X71*_xlfn.XLOOKUP(IF('Tillegg- Inndata GoF'!I71&lt;2,'Tillegg- Inndata GoF'!H71,'Tillegg- Inndata GoF'!H71*2), År_etter_ferdigstillelse, Faktorer!$Z$7:$Z$58))*('Tillegg- Inndata GoF'!L71*0.5+'Tillegg- Inndata GoF'!M71*0.8)*_xlfn.XLOOKUP(IF('Tillegg- Inndata GoF'!I71&lt;2,'Tillegg- Inndata GoF'!H71,'Tillegg- Inndata GoF'!H71*2), År_etter_ferdigstillelse,  IF(LEFT('Tillegg- Inndata GoF'!B71, 2)= 49, f_tid_x_f_tek_d_0_037, f_tid_x_f_tek_d_0_01)))</f>
        <v>0</v>
      </c>
      <c r="AC73" s="335">
        <f>IF(('Tillegg- Inndata GoF'!G71) = 0, 0,(('Tillegg- Inndata GoF'!G71)*((AG73+AI73)*Transport_utslipp_til_avfallshånderting_per_kg)+('Tillegg- Inndata GoF'!Z71*'ZERO-B Beregning'!D173)*IF('ZERO-B Beregning'!F174=0,'ZERO-B Beregning'!D174,'ZERO-B Beregning'!F174))*_xlfn.XLOOKUP(51, År_etter_ferdigstillelse, f_tid_x_f_tek_d_0_01))</f>
        <v>0</v>
      </c>
      <c r="AD73" s="337">
        <f>IF(('Tillegg- Inndata GoF'!G71) = 0, 0,1.833*('Tillegg- Inndata GoF'!G71*('Tillegg- Inndata GoF'!L71*0.5+'Tillegg- Inndata GoF'!M71*0.8)*AG73*_xlfn.XLOOKUP(51, År_etter_ferdigstillelse,  f_tid_x_f_tek_d_0_01)))</f>
        <v>0</v>
      </c>
      <c r="AE73" s="333" cm="1">
        <f t="array" ref="AE73">IF(('Tillegg- Inndata GoF'!G71) = 0, 0,-0.8*('Tillegg- Inndata GoF'!G71)*AH73*('Tillegg- Inndata GoF'!E71/'Tillegg- Inndata GoF'!G71)*_xlfn.XLOOKUP(51, År_etter_ferdigstillelse,  IF(LEFT('Tillegg- Inndata GoF'!B71, 2)= 49, f_tid_x_f_tek_d_0_037, f_tid_x_f_tek_d_0_01)))</f>
        <v>0</v>
      </c>
      <c r="AF73" s="338" cm="1">
        <f t="array" ref="AF73">IF(('Tillegg- Inndata GoF'!G71) = 0, 0,-0.1*('Tillegg- Inndata GoF'!G71)*AI73*('Tillegg- Inndata GoF'!E71/'Tillegg- Inndata GoF'!G71)*_xlfn.XLOOKUP(51, År_etter_ferdigstillelse,  IF(LEFT('Tillegg- Inndata GoF'!B71, 2)= 49, f_tid_x_f_tek_d_0_037, f_tid_x_f_tek_d_0_01)))</f>
        <v>0</v>
      </c>
      <c r="AG73" s="572">
        <f>IF(('Tillegg- Inndata GoF'!G71) = 0, 0,'Tillegg- Inndata GoF'!X71*Faktorer!$Z$58)</f>
        <v>0</v>
      </c>
      <c r="AH73" s="573">
        <f>IF(('Tillegg- Inndata GoF'!G71) = 0, 0,'Tillegg- Inndata GoF'!Z71+('Tillegg- Inndata GoF'!X71+'Tillegg- Inndata GoF'!Y71)*(1-Faktorer!$Z$58)*0.5)</f>
        <v>0</v>
      </c>
      <c r="AI73" s="574">
        <f>IF(('Tillegg- Inndata GoF'!G71) = 0, 0,'Tillegg- Inndata GoF'!AA71+('Tillegg- Inndata GoF'!X71+'Tillegg- Inndata GoF'!Y71)*(1-Faktorer!$Z$58)*0.5)</f>
        <v>0</v>
      </c>
      <c r="AK73" s="90">
        <f t="shared" si="1"/>
        <v>0</v>
      </c>
      <c r="AL73" s="91">
        <f>'Tillegg- Res. detaljert GoF'!N73</f>
        <v>0</v>
      </c>
      <c r="AM73" s="91" t="str">
        <f>IF(F73=0,"",('Tillegg- Inndata GoF'!E73+'Tillegg- Inndata GoF'!F73)*ROUNDDOWN('Tillegg- Inndata GoF'!I73,0)*(1+'Tillegg- Inndata GoF'!K73))</f>
        <v/>
      </c>
    </row>
    <row r="74" spans="2:39">
      <c r="B74" s="327">
        <f>'Tillegg- Inndata GoF'!B72</f>
        <v>0</v>
      </c>
      <c r="C74" s="328">
        <f>'Tillegg- Inndata GoF'!C72</f>
        <v>0</v>
      </c>
      <c r="D74" s="329">
        <f>'Tillegg- Inndata GoF'!D72</f>
        <v>0</v>
      </c>
      <c r="E74" s="661" cm="1">
        <f t="array" ref="E74">SUM(IFERROR(F74:AF74,0))</f>
        <v>0</v>
      </c>
      <c r="F74" s="330">
        <f>'Tillegg- Inndata GoF'!E72</f>
        <v>0</v>
      </c>
      <c r="G74" s="330">
        <f>IF('Tillegg- Inndata GoF'!AB72="Ja", -0.8*'Tillegg- Res. detaljert GoF'!$F74, 0)</f>
        <v>0</v>
      </c>
      <c r="H74" s="330">
        <f>IF('Tillegg- Inndata GoF'!AC72="Ja", -0.4*'Tillegg- Res. detaljert GoF'!$F74, 0)</f>
        <v>0</v>
      </c>
      <c r="I74" s="330">
        <f>IF('Tillegg- Inndata GoF'!AD72="Ja", -1*'Tillegg- Res. detaljert GoF'!$F74, 0)</f>
        <v>0</v>
      </c>
      <c r="J74" s="330">
        <f>'Tillegg- Inndata GoF'!O72*'Tillegg- Inndata GoF'!P72</f>
        <v>0</v>
      </c>
      <c r="K74" s="330">
        <f>MAX(-0.75*(SUM('Tillegg- Res. detaljert GoF'!F74:J74)),-'Tillegg- Inndata GoF'!O72*'Tillegg- Inndata GoF'!Q72)</f>
        <v>0</v>
      </c>
      <c r="L74" s="330">
        <f>'Tillegg- Inndata GoF'!S72*'Tillegg- Inndata GoF'!T72</f>
        <v>0</v>
      </c>
      <c r="M74" s="330">
        <f>MAX(-0.75*(SUM('Tillegg- Res. detaljert GoF'!F74:I74,L74)),-'Tillegg- Inndata GoF'!S72*'Tillegg- Inndata GoF'!U72)</f>
        <v>0</v>
      </c>
      <c r="N74" s="331">
        <f>'Tillegg- Inndata GoF'!F72</f>
        <v>0</v>
      </c>
      <c r="O74" s="330">
        <f>'Tillegg- Inndata GoF'!O72*'Tillegg- Inndata GoF'!R72</f>
        <v>0</v>
      </c>
      <c r="P74" s="332">
        <f>'Tillegg- Inndata GoF'!S72*'Tillegg- Inndata GoF'!V72</f>
        <v>0</v>
      </c>
      <c r="Q74" s="333">
        <f>SUM(F74:J74,L74)*'Tillegg- Inndata GoF'!K72</f>
        <v>0</v>
      </c>
      <c r="R74" s="333">
        <f>(K74+M74)*'Tillegg- Inndata GoF'!K72</f>
        <v>0</v>
      </c>
      <c r="S74" s="333">
        <f>SUM(N74:P74)*'Tillegg- Inndata GoF'!K72</f>
        <v>0</v>
      </c>
      <c r="T74" s="334">
        <f>('Tillegg- Inndata GoF'!G72+'Tillegg- Inndata GoF'!O72+'Tillegg- Inndata GoF'!S72)*'Tillegg- Inndata GoF'!K72*Transport_utslipp_til_avfallshånderting_per_kg</f>
        <v>0</v>
      </c>
      <c r="U74" s="330">
        <f>IF('Tillegg- Inndata GoF'!E72 = 0, 0, 1.833*'Tillegg- Inndata GoF'!X72*'Tillegg- Inndata GoF'!K72*('Tillegg- Inndata GoF'!G72*('Tillegg- Inndata GoF'!L72*0.5+'Tillegg- Inndata GoF'!M72*0.8) + (12/44)*('Tillegg- Inndata GoF'!O72*'Tillegg- Inndata GoF'!Q72+'Tillegg- Inndata GoF'!S72*'Tillegg- Inndata GoF'!U72)))</f>
        <v>0</v>
      </c>
      <c r="V74" s="335">
        <f>IF('Tillegg- Inndata GoF'!G72 = 0, 0,  MAX(-SUM(F74:J74,L74)*'Tillegg- Inndata GoF'!L72, -0.114*IF('Tillegg- Inndata GoF'!H72 &gt; 49, _xlfn.XLOOKUP(49, År_etter_ferdigstillelse, karbon_opptak_faktor), _xlfn.XLOOKUP('Tillegg- Inndata GoF'!H72, År_etter_ferdigstillelse, karbon_opptak_faktor))*'Tillegg- Inndata GoF'!G72*'Tillegg- Inndata GoF'!L72*0.5))</f>
        <v>0</v>
      </c>
      <c r="W74" s="333">
        <f>IF('Tillegg- Inndata GoF'!G72=0,0,IF('Tillegg- Inndata GoF'!H72&gt;49,-0.064*'Tillegg- Inndata GoF'!G72*'Tillegg- Inndata GoF'!N72,-0.037*'Tillegg- Inndata GoF'!J72*'Tillegg- Inndata GoF'!N72))</f>
        <v>0</v>
      </c>
      <c r="X74" s="331" cm="1">
        <f t="array" ref="X74">IF(SUM(F74:J74,L74)=0, 0, SUM(F74:J74,L74)*(1+'Tillegg-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Y74" s="330" cm="1">
        <f t="array" ref="Y74">IF(X74=0, 0, SUM(K74,M74)*(1+'Tillegg-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Z74" s="336" cm="1">
        <f t="array" ref="Z74">IF(X74=0, 0, SUM(N74:P74)*(1+'Tillegg-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AA74" s="336" cm="1">
        <f t="array" ref="AA74">IF(X74=0, 0, ('Tillegg- Inndata GoF'!G72+'Tillegg- Inndata GoF'!O72+'Tillegg- Inndata GoF'!S72)*(1+'Tillegg- Inndata GoF'!K72)*Transport_utslipp_til_avfallshånderting_per_kg*IF('Tillegg- Inndata GoF'!H72&gt;50, 0, _xlfn.XLOOKUP('Tillegg- Inndata GoF'!H72, År_etter_ferdigstillelse, IF(VALUE(LEFT('Tillegg- Inndata GoF'!B72, 2))= 49, f_tid_x_f_tek_d_0_037_kumulativ, f_tid_x_f_tek_d_0_01_kumulativ))))</f>
        <v>0</v>
      </c>
      <c r="AB74" s="334" cm="1">
        <f t="array" ref="AB74">IF(X74=0, 0,1.833*'Tillegg- Inndata GoF'!J72*('Tillegg- Inndata GoF'!X72*_xlfn.XLOOKUP(IF('Tillegg- Inndata GoF'!I72&lt;2,'Tillegg- Inndata GoF'!H72,'Tillegg- Inndata GoF'!H72*2), År_etter_ferdigstillelse, Faktorer!$Z$7:$Z$58))*('Tillegg- Inndata GoF'!L72*0.5+'Tillegg- Inndata GoF'!M72*0.8)*_xlfn.XLOOKUP(IF('Tillegg- Inndata GoF'!I72&lt;2,'Tillegg- Inndata GoF'!H72,'Tillegg- Inndata GoF'!H72*2), År_etter_ferdigstillelse,  IF(LEFT('Tillegg- Inndata GoF'!B72, 2)= 49, f_tid_x_f_tek_d_0_037, f_tid_x_f_tek_d_0_01)))</f>
        <v>0</v>
      </c>
      <c r="AC74" s="335">
        <f>IF(('Tillegg- Inndata GoF'!G72) = 0, 0,(('Tillegg- Inndata GoF'!G72)*((AG74+AI74)*Transport_utslipp_til_avfallshånderting_per_kg)+('Tillegg- Inndata GoF'!Z72*'ZERO-B Beregning'!D174)*IF('ZERO-B Beregning'!F175=0,'ZERO-B Beregning'!D175,'ZERO-B Beregning'!F175))*_xlfn.XLOOKUP(51, År_etter_ferdigstillelse, f_tid_x_f_tek_d_0_01))</f>
        <v>0</v>
      </c>
      <c r="AD74" s="337">
        <f>IF(('Tillegg- Inndata GoF'!G72) = 0, 0,1.833*('Tillegg- Inndata GoF'!G72*('Tillegg- Inndata GoF'!L72*0.5+'Tillegg- Inndata GoF'!M72*0.8)*AG74*_xlfn.XLOOKUP(51, År_etter_ferdigstillelse,  f_tid_x_f_tek_d_0_01)))</f>
        <v>0</v>
      </c>
      <c r="AE74" s="333" cm="1">
        <f t="array" ref="AE74">IF(('Tillegg- Inndata GoF'!G72) = 0, 0,-0.8*('Tillegg- Inndata GoF'!G72)*AH74*('Tillegg- Inndata GoF'!E72/'Tillegg- Inndata GoF'!G72)*_xlfn.XLOOKUP(51, År_etter_ferdigstillelse,  IF(LEFT('Tillegg- Inndata GoF'!B72, 2)= 49, f_tid_x_f_tek_d_0_037, f_tid_x_f_tek_d_0_01)))</f>
        <v>0</v>
      </c>
      <c r="AF74" s="338" cm="1">
        <f t="array" ref="AF74">IF(('Tillegg- Inndata GoF'!G72) = 0, 0,-0.1*('Tillegg- Inndata GoF'!G72)*AI74*('Tillegg- Inndata GoF'!E72/'Tillegg- Inndata GoF'!G72)*_xlfn.XLOOKUP(51, År_etter_ferdigstillelse,  IF(LEFT('Tillegg- Inndata GoF'!B72, 2)= 49, f_tid_x_f_tek_d_0_037, f_tid_x_f_tek_d_0_01)))</f>
        <v>0</v>
      </c>
      <c r="AG74" s="572">
        <f>IF(('Tillegg- Inndata GoF'!G72) = 0, 0,'Tillegg- Inndata GoF'!X72*Faktorer!$Z$58)</f>
        <v>0</v>
      </c>
      <c r="AH74" s="573">
        <f>IF(('Tillegg- Inndata GoF'!G72) = 0, 0,'Tillegg- Inndata GoF'!Z72+('Tillegg- Inndata GoF'!X72+'Tillegg- Inndata GoF'!Y72)*(1-Faktorer!$Z$58)*0.5)</f>
        <v>0</v>
      </c>
      <c r="AI74" s="574">
        <f>IF(('Tillegg- Inndata GoF'!G72) = 0, 0,'Tillegg- Inndata GoF'!AA72+('Tillegg- Inndata GoF'!X72+'Tillegg- Inndata GoF'!Y72)*(1-Faktorer!$Z$58)*0.5)</f>
        <v>0</v>
      </c>
      <c r="AK74" s="90">
        <f t="shared" si="1"/>
        <v>0</v>
      </c>
      <c r="AL74" s="91">
        <f>'Tillegg- Res. detaljert GoF'!N74</f>
        <v>0</v>
      </c>
      <c r="AM74" s="91" t="str">
        <f>IF(F74=0,"",('Tillegg- Inndata GoF'!E74+'Tillegg- Inndata GoF'!F74)*ROUNDDOWN('Tillegg- Inndata GoF'!I74,0)*(1+'Tillegg- Inndata GoF'!K74))</f>
        <v/>
      </c>
    </row>
    <row r="75" spans="2:39">
      <c r="B75" s="327">
        <f>'Tillegg- Inndata GoF'!B73</f>
        <v>0</v>
      </c>
      <c r="C75" s="328">
        <f>'Tillegg- Inndata GoF'!C73</f>
        <v>0</v>
      </c>
      <c r="D75" s="329">
        <f>'Tillegg- Inndata GoF'!D73</f>
        <v>0</v>
      </c>
      <c r="E75" s="661" cm="1">
        <f t="array" ref="E75">SUM(IFERROR(F75:AF75,0))</f>
        <v>0</v>
      </c>
      <c r="F75" s="330">
        <f>'Tillegg- Inndata GoF'!E73</f>
        <v>0</v>
      </c>
      <c r="G75" s="330">
        <f>IF('Tillegg- Inndata GoF'!AB73="Ja", -0.8*'Tillegg- Res. detaljert GoF'!$F75, 0)</f>
        <v>0</v>
      </c>
      <c r="H75" s="330">
        <f>IF('Tillegg- Inndata GoF'!AC73="Ja", -0.4*'Tillegg- Res. detaljert GoF'!$F75, 0)</f>
        <v>0</v>
      </c>
      <c r="I75" s="330">
        <f>IF('Tillegg- Inndata GoF'!AD73="Ja", -1*'Tillegg- Res. detaljert GoF'!$F75, 0)</f>
        <v>0</v>
      </c>
      <c r="J75" s="330">
        <f>'Tillegg- Inndata GoF'!O73*'Tillegg- Inndata GoF'!P73</f>
        <v>0</v>
      </c>
      <c r="K75" s="330">
        <f>MAX(-0.75*(SUM('Tillegg- Res. detaljert GoF'!F75:J75)),-'Tillegg- Inndata GoF'!O73*'Tillegg- Inndata GoF'!Q73)</f>
        <v>0</v>
      </c>
      <c r="L75" s="330">
        <f>'Tillegg- Inndata GoF'!S73*'Tillegg- Inndata GoF'!T73</f>
        <v>0</v>
      </c>
      <c r="M75" s="330">
        <f>MAX(-0.75*(SUM('Tillegg- Res. detaljert GoF'!F75:I75,L75)),-'Tillegg- Inndata GoF'!S73*'Tillegg- Inndata GoF'!U73)</f>
        <v>0</v>
      </c>
      <c r="N75" s="331">
        <f>'Tillegg- Inndata GoF'!F73</f>
        <v>0</v>
      </c>
      <c r="O75" s="330">
        <f>'Tillegg- Inndata GoF'!O73*'Tillegg- Inndata GoF'!R73</f>
        <v>0</v>
      </c>
      <c r="P75" s="332">
        <f>'Tillegg- Inndata GoF'!S73*'Tillegg- Inndata GoF'!V73</f>
        <v>0</v>
      </c>
      <c r="Q75" s="333">
        <f>SUM(F75:J75,L75)*'Tillegg- Inndata GoF'!K73</f>
        <v>0</v>
      </c>
      <c r="R75" s="333">
        <f>(K75+M75)*'Tillegg- Inndata GoF'!K73</f>
        <v>0</v>
      </c>
      <c r="S75" s="333">
        <f>SUM(N75:P75)*'Tillegg- Inndata GoF'!K73</f>
        <v>0</v>
      </c>
      <c r="T75" s="334">
        <f>('Tillegg- Inndata GoF'!G73+'Tillegg- Inndata GoF'!O73+'Tillegg- Inndata GoF'!S73)*'Tillegg- Inndata GoF'!K73*Transport_utslipp_til_avfallshånderting_per_kg</f>
        <v>0</v>
      </c>
      <c r="U75" s="330">
        <f>IF('Tillegg- Inndata GoF'!E73 = 0, 0, 1.833*'Tillegg- Inndata GoF'!X73*'Tillegg- Inndata GoF'!K73*('Tillegg- Inndata GoF'!G73*('Tillegg- Inndata GoF'!L73*0.5+'Tillegg- Inndata GoF'!M73*0.8) + (12/44)*('Tillegg- Inndata GoF'!O73*'Tillegg- Inndata GoF'!Q73+'Tillegg- Inndata GoF'!S73*'Tillegg- Inndata GoF'!U73)))</f>
        <v>0</v>
      </c>
      <c r="V75" s="335">
        <f>IF('Tillegg- Inndata GoF'!G73 = 0, 0,  MAX(-SUM(F75:J75,L75)*'Tillegg- Inndata GoF'!L73, -0.114*IF('Tillegg- Inndata GoF'!H73 &gt; 49, _xlfn.XLOOKUP(49, År_etter_ferdigstillelse, karbon_opptak_faktor), _xlfn.XLOOKUP('Tillegg- Inndata GoF'!H73, År_etter_ferdigstillelse, karbon_opptak_faktor))*'Tillegg- Inndata GoF'!G73*'Tillegg- Inndata GoF'!L73*0.5))</f>
        <v>0</v>
      </c>
      <c r="W75" s="333">
        <f>IF('Tillegg- Inndata GoF'!G73=0,0,IF('Tillegg- Inndata GoF'!H73&gt;49,-0.064*'Tillegg- Inndata GoF'!G73*'Tillegg- Inndata GoF'!N73,-0.037*'Tillegg- Inndata GoF'!J73*'Tillegg- Inndata GoF'!N73))</f>
        <v>0</v>
      </c>
      <c r="X75" s="331" cm="1">
        <f t="array" ref="X75">IF(SUM(F75:J75,L75)=0, 0, SUM(F75:J75,L75)*(1+'Tillegg-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Y75" s="330" cm="1">
        <f t="array" ref="Y75">IF(X75=0, 0, SUM(K75,M75)*(1+'Tillegg-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Z75" s="336" cm="1">
        <f t="array" ref="Z75">IF(X75=0, 0, SUM(N75:P75)*(1+'Tillegg-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AA75" s="336" cm="1">
        <f t="array" ref="AA75">IF(X75=0, 0, ('Tillegg- Inndata GoF'!G73+'Tillegg- Inndata GoF'!O73+'Tillegg- Inndata GoF'!S73)*(1+'Tillegg- Inndata GoF'!K73)*Transport_utslipp_til_avfallshånderting_per_kg*IF('Tillegg- Inndata GoF'!H73&gt;50, 0, _xlfn.XLOOKUP('Tillegg- Inndata GoF'!H73, År_etter_ferdigstillelse, IF(VALUE(LEFT('Tillegg- Inndata GoF'!B73, 2))= 49, f_tid_x_f_tek_d_0_037_kumulativ, f_tid_x_f_tek_d_0_01_kumulativ))))</f>
        <v>0</v>
      </c>
      <c r="AB75" s="334" cm="1">
        <f t="array" ref="AB75">IF(X75=0, 0,1.833*'Tillegg- Inndata GoF'!J73*('Tillegg- Inndata GoF'!X73*_xlfn.XLOOKUP(IF('Tillegg- Inndata GoF'!I73&lt;2,'Tillegg- Inndata GoF'!H73,'Tillegg- Inndata GoF'!H73*2), År_etter_ferdigstillelse, Faktorer!$Z$7:$Z$58))*('Tillegg- Inndata GoF'!L73*0.5+'Tillegg- Inndata GoF'!M73*0.8)*_xlfn.XLOOKUP(IF('Tillegg- Inndata GoF'!I73&lt;2,'Tillegg- Inndata GoF'!H73,'Tillegg- Inndata GoF'!H73*2), År_etter_ferdigstillelse,  IF(LEFT('Tillegg- Inndata GoF'!B73, 2)= 49, f_tid_x_f_tek_d_0_037, f_tid_x_f_tek_d_0_01)))</f>
        <v>0</v>
      </c>
      <c r="AC75" s="335">
        <f>IF(('Tillegg- Inndata GoF'!G73) = 0, 0,(('Tillegg- Inndata GoF'!G73)*((AG75+AI75)*Transport_utslipp_til_avfallshånderting_per_kg)+('Tillegg- Inndata GoF'!Z73*'ZERO-B Beregning'!D175)*IF('ZERO-B Beregning'!F176=0,'ZERO-B Beregning'!D176,'ZERO-B Beregning'!F176))*_xlfn.XLOOKUP(51, År_etter_ferdigstillelse, f_tid_x_f_tek_d_0_01))</f>
        <v>0</v>
      </c>
      <c r="AD75" s="337">
        <f>IF(('Tillegg- Inndata GoF'!G73) = 0, 0,1.833*('Tillegg- Inndata GoF'!G73*('Tillegg- Inndata GoF'!L73*0.5+'Tillegg- Inndata GoF'!M73*0.8)*AG75*_xlfn.XLOOKUP(51, År_etter_ferdigstillelse,  f_tid_x_f_tek_d_0_01)))</f>
        <v>0</v>
      </c>
      <c r="AE75" s="333" cm="1">
        <f t="array" ref="AE75">IF(('Tillegg- Inndata GoF'!G73) = 0, 0,-0.8*('Tillegg- Inndata GoF'!G73)*AH75*('Tillegg- Inndata GoF'!E73/'Tillegg- Inndata GoF'!G73)*_xlfn.XLOOKUP(51, År_etter_ferdigstillelse,  IF(LEFT('Tillegg- Inndata GoF'!B73, 2)= 49, f_tid_x_f_tek_d_0_037, f_tid_x_f_tek_d_0_01)))</f>
        <v>0</v>
      </c>
      <c r="AF75" s="338" cm="1">
        <f t="array" ref="AF75">IF(('Tillegg- Inndata GoF'!G73) = 0, 0,-0.1*('Tillegg- Inndata GoF'!G73)*AI75*('Tillegg- Inndata GoF'!E73/'Tillegg- Inndata GoF'!G73)*_xlfn.XLOOKUP(51, År_etter_ferdigstillelse,  IF(LEFT('Tillegg- Inndata GoF'!B73, 2)= 49, f_tid_x_f_tek_d_0_037, f_tid_x_f_tek_d_0_01)))</f>
        <v>0</v>
      </c>
      <c r="AG75" s="572">
        <f>IF(('Tillegg- Inndata GoF'!G73) = 0, 0,'Tillegg- Inndata GoF'!X73*Faktorer!$Z$58)</f>
        <v>0</v>
      </c>
      <c r="AH75" s="573">
        <f>IF(('Tillegg- Inndata GoF'!G73) = 0, 0,'Tillegg- Inndata GoF'!Z73+('Tillegg- Inndata GoF'!X73+'Tillegg- Inndata GoF'!Y73)*(1-Faktorer!$Z$58)*0.5)</f>
        <v>0</v>
      </c>
      <c r="AI75" s="574">
        <f>IF(('Tillegg- Inndata GoF'!G73) = 0, 0,'Tillegg- Inndata GoF'!AA73+('Tillegg- Inndata GoF'!X73+'Tillegg- Inndata GoF'!Y73)*(1-Faktorer!$Z$58)*0.5)</f>
        <v>0</v>
      </c>
      <c r="AK75" s="90">
        <f t="shared" si="1"/>
        <v>0</v>
      </c>
      <c r="AL75" s="91">
        <f>'Tillegg- Res. detaljert GoF'!N75</f>
        <v>0</v>
      </c>
      <c r="AM75" s="91" t="str">
        <f>IF(F75=0,"",('Tillegg- Inndata GoF'!E75+'Tillegg- Inndata GoF'!F75)*ROUNDDOWN('Tillegg- Inndata GoF'!I75,0)*(1+'Tillegg- Inndata GoF'!K75))</f>
        <v/>
      </c>
    </row>
    <row r="76" spans="2:39">
      <c r="B76" s="327">
        <f>'Tillegg- Inndata GoF'!B74</f>
        <v>0</v>
      </c>
      <c r="C76" s="328">
        <f>'Tillegg- Inndata GoF'!C74</f>
        <v>0</v>
      </c>
      <c r="D76" s="329">
        <f>'Tillegg- Inndata GoF'!D74</f>
        <v>0</v>
      </c>
      <c r="E76" s="661" cm="1">
        <f t="array" ref="E76">SUM(IFERROR(F76:AF76,0))</f>
        <v>0</v>
      </c>
      <c r="F76" s="330">
        <f>'Tillegg- Inndata GoF'!E74</f>
        <v>0</v>
      </c>
      <c r="G76" s="330">
        <f>IF('Tillegg- Inndata GoF'!AB74="Ja", -0.8*'Tillegg- Res. detaljert GoF'!$F76, 0)</f>
        <v>0</v>
      </c>
      <c r="H76" s="330">
        <f>IF('Tillegg- Inndata GoF'!AC74="Ja", -0.4*'Tillegg- Res. detaljert GoF'!$F76, 0)</f>
        <v>0</v>
      </c>
      <c r="I76" s="330">
        <f>IF('Tillegg- Inndata GoF'!AD74="Ja", -1*'Tillegg- Res. detaljert GoF'!$F76, 0)</f>
        <v>0</v>
      </c>
      <c r="J76" s="330">
        <f>'Tillegg- Inndata GoF'!O74*'Tillegg- Inndata GoF'!P74</f>
        <v>0</v>
      </c>
      <c r="K76" s="330">
        <f>MAX(-0.75*(SUM('Tillegg- Res. detaljert GoF'!F76:J76)),-'Tillegg- Inndata GoF'!O74*'Tillegg- Inndata GoF'!Q74)</f>
        <v>0</v>
      </c>
      <c r="L76" s="330">
        <f>'Tillegg- Inndata GoF'!S74*'Tillegg- Inndata GoF'!T74</f>
        <v>0</v>
      </c>
      <c r="M76" s="330">
        <f>MAX(-0.75*(SUM('Tillegg- Res. detaljert GoF'!F76:I76,L76)),-'Tillegg- Inndata GoF'!S74*'Tillegg- Inndata GoF'!U74)</f>
        <v>0</v>
      </c>
      <c r="N76" s="331">
        <f>'Tillegg- Inndata GoF'!F74</f>
        <v>0</v>
      </c>
      <c r="O76" s="330">
        <f>'Tillegg- Inndata GoF'!O74*'Tillegg- Inndata GoF'!R74</f>
        <v>0</v>
      </c>
      <c r="P76" s="332">
        <f>'Tillegg- Inndata GoF'!S74*'Tillegg- Inndata GoF'!V74</f>
        <v>0</v>
      </c>
      <c r="Q76" s="333">
        <f>SUM(F76:J76,L76)*'Tillegg- Inndata GoF'!K74</f>
        <v>0</v>
      </c>
      <c r="R76" s="333">
        <f>(K76+M76)*'Tillegg- Inndata GoF'!K74</f>
        <v>0</v>
      </c>
      <c r="S76" s="333">
        <f>SUM(N76:P76)*'Tillegg- Inndata GoF'!K74</f>
        <v>0</v>
      </c>
      <c r="T76" s="334">
        <f>('Tillegg- Inndata GoF'!G74+'Tillegg- Inndata GoF'!O74+'Tillegg- Inndata GoF'!S74)*'Tillegg- Inndata GoF'!K74*Transport_utslipp_til_avfallshånderting_per_kg</f>
        <v>0</v>
      </c>
      <c r="U76" s="330">
        <f>IF('Tillegg- Inndata GoF'!E74 = 0, 0, 1.833*'Tillegg- Inndata GoF'!X74*'Tillegg- Inndata GoF'!K74*('Tillegg- Inndata GoF'!G74*('Tillegg- Inndata GoF'!L74*0.5+'Tillegg- Inndata GoF'!M74*0.8) + (12/44)*('Tillegg- Inndata GoF'!O74*'Tillegg- Inndata GoF'!Q74+'Tillegg- Inndata GoF'!S74*'Tillegg- Inndata GoF'!U74)))</f>
        <v>0</v>
      </c>
      <c r="V76" s="335">
        <f>IF('Tillegg- Inndata GoF'!G74 = 0, 0,  MAX(-SUM(F76:J76,L76)*'Tillegg- Inndata GoF'!L74, -0.114*IF('Tillegg- Inndata GoF'!H74 &gt; 49, _xlfn.XLOOKUP(49, År_etter_ferdigstillelse, karbon_opptak_faktor), _xlfn.XLOOKUP('Tillegg- Inndata GoF'!H74, År_etter_ferdigstillelse, karbon_opptak_faktor))*'Tillegg- Inndata GoF'!G74*'Tillegg- Inndata GoF'!L74*0.5))</f>
        <v>0</v>
      </c>
      <c r="W76" s="333">
        <f>IF('Tillegg- Inndata GoF'!G74=0,0,IF('Tillegg- Inndata GoF'!H74&gt;49,-0.064*'Tillegg- Inndata GoF'!G74*'Tillegg- Inndata GoF'!N74,-0.037*'Tillegg- Inndata GoF'!J74*'Tillegg- Inndata GoF'!N74))</f>
        <v>0</v>
      </c>
      <c r="X76" s="331" cm="1">
        <f t="array" ref="X76">IF(SUM(F76:J76,L76)=0, 0, SUM(F76:J76,L76)*(1+'Tillegg-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Y76" s="330" cm="1">
        <f t="array" ref="Y76">IF(X76=0, 0, SUM(K76,M76)*(1+'Tillegg-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Z76" s="336" cm="1">
        <f t="array" ref="Z76">IF(X76=0, 0, SUM(N76:P76)*(1+'Tillegg-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AA76" s="336" cm="1">
        <f t="array" ref="AA76">IF(X76=0, 0, ('Tillegg- Inndata GoF'!G74+'Tillegg- Inndata GoF'!O74+'Tillegg- Inndata GoF'!S74)*(1+'Tillegg- Inndata GoF'!K74)*Transport_utslipp_til_avfallshånderting_per_kg*IF('Tillegg- Inndata GoF'!H74&gt;50, 0, _xlfn.XLOOKUP('Tillegg- Inndata GoF'!H74, År_etter_ferdigstillelse, IF(VALUE(LEFT('Tillegg- Inndata GoF'!B74, 2))= 49, f_tid_x_f_tek_d_0_037_kumulativ, f_tid_x_f_tek_d_0_01_kumulativ))))</f>
        <v>0</v>
      </c>
      <c r="AB76" s="334" cm="1">
        <f t="array" ref="AB76">IF(X76=0, 0,1.833*'Tillegg- Inndata GoF'!J74*('Tillegg- Inndata GoF'!X74*_xlfn.XLOOKUP(IF('Tillegg- Inndata GoF'!I74&lt;2,'Tillegg- Inndata GoF'!H74,'Tillegg- Inndata GoF'!H74*2), År_etter_ferdigstillelse, Faktorer!$Z$7:$Z$58))*('Tillegg- Inndata GoF'!L74*0.5+'Tillegg- Inndata GoF'!M74*0.8)*_xlfn.XLOOKUP(IF('Tillegg- Inndata GoF'!I74&lt;2,'Tillegg- Inndata GoF'!H74,'Tillegg- Inndata GoF'!H74*2), År_etter_ferdigstillelse,  IF(LEFT('Tillegg- Inndata GoF'!B74, 2)= 49, f_tid_x_f_tek_d_0_037, f_tid_x_f_tek_d_0_01)))</f>
        <v>0</v>
      </c>
      <c r="AC76" s="335">
        <f>IF(('Tillegg- Inndata GoF'!G74) = 0, 0,(('Tillegg- Inndata GoF'!G74)*((AG76+AI76)*Transport_utslipp_til_avfallshånderting_per_kg)+('Tillegg- Inndata GoF'!Z74*'ZERO-B Beregning'!D176)*IF('ZERO-B Beregning'!F177=0,'ZERO-B Beregning'!D177,'ZERO-B Beregning'!F177))*_xlfn.XLOOKUP(51, År_etter_ferdigstillelse, f_tid_x_f_tek_d_0_01))</f>
        <v>0</v>
      </c>
      <c r="AD76" s="337">
        <f>IF(('Tillegg- Inndata GoF'!G74) = 0, 0,1.833*('Tillegg- Inndata GoF'!G74*('Tillegg- Inndata GoF'!L74*0.5+'Tillegg- Inndata GoF'!M74*0.8)*AG76*_xlfn.XLOOKUP(51, År_etter_ferdigstillelse,  f_tid_x_f_tek_d_0_01)))</f>
        <v>0</v>
      </c>
      <c r="AE76" s="333" cm="1">
        <f t="array" ref="AE76">IF(('Tillegg- Inndata GoF'!G74) = 0, 0,-0.8*('Tillegg- Inndata GoF'!G74)*AH76*('Tillegg- Inndata GoF'!E74/'Tillegg- Inndata GoF'!G74)*_xlfn.XLOOKUP(51, År_etter_ferdigstillelse,  IF(LEFT('Tillegg- Inndata GoF'!B74, 2)= 49, f_tid_x_f_tek_d_0_037, f_tid_x_f_tek_d_0_01)))</f>
        <v>0</v>
      </c>
      <c r="AF76" s="338" cm="1">
        <f t="array" ref="AF76">IF(('Tillegg- Inndata GoF'!G74) = 0, 0,-0.1*('Tillegg- Inndata GoF'!G74)*AI76*('Tillegg- Inndata GoF'!E74/'Tillegg- Inndata GoF'!G74)*_xlfn.XLOOKUP(51, År_etter_ferdigstillelse,  IF(LEFT('Tillegg- Inndata GoF'!B74, 2)= 49, f_tid_x_f_tek_d_0_037, f_tid_x_f_tek_d_0_01)))</f>
        <v>0</v>
      </c>
      <c r="AG76" s="572">
        <f>IF(('Tillegg- Inndata GoF'!G74) = 0, 0,'Tillegg- Inndata GoF'!X74*Faktorer!$Z$58)</f>
        <v>0</v>
      </c>
      <c r="AH76" s="573">
        <f>IF(('Tillegg- Inndata GoF'!G74) = 0, 0,'Tillegg- Inndata GoF'!Z74+('Tillegg- Inndata GoF'!X74+'Tillegg- Inndata GoF'!Y74)*(1-Faktorer!$Z$58)*0.5)</f>
        <v>0</v>
      </c>
      <c r="AI76" s="574">
        <f>IF(('Tillegg- Inndata GoF'!G74) = 0, 0,'Tillegg- Inndata GoF'!AA74+('Tillegg- Inndata GoF'!X74+'Tillegg- Inndata GoF'!Y74)*(1-Faktorer!$Z$58)*0.5)</f>
        <v>0</v>
      </c>
      <c r="AK76" s="90">
        <f t="shared" si="1"/>
        <v>0</v>
      </c>
      <c r="AL76" s="91">
        <f>'Tillegg- Res. detaljert GoF'!N76</f>
        <v>0</v>
      </c>
      <c r="AM76" s="91" t="str">
        <f>IF(F76=0,"",('Tillegg- Inndata GoF'!E76+'Tillegg- Inndata GoF'!F76)*ROUNDDOWN('Tillegg- Inndata GoF'!I76,0)*(1+'Tillegg- Inndata GoF'!K76))</f>
        <v/>
      </c>
    </row>
    <row r="77" spans="2:39">
      <c r="B77" s="327">
        <f>'Tillegg- Inndata GoF'!B75</f>
        <v>0</v>
      </c>
      <c r="C77" s="328">
        <f>'Tillegg- Inndata GoF'!C75</f>
        <v>0</v>
      </c>
      <c r="D77" s="329">
        <f>'Tillegg- Inndata GoF'!D75</f>
        <v>0</v>
      </c>
      <c r="E77" s="661" cm="1">
        <f t="array" ref="E77">SUM(IFERROR(F77:AF77,0))</f>
        <v>0</v>
      </c>
      <c r="F77" s="330">
        <f>'Tillegg- Inndata GoF'!E75</f>
        <v>0</v>
      </c>
      <c r="G77" s="330">
        <f>IF('Tillegg- Inndata GoF'!AB75="Ja", -0.8*'Tillegg- Res. detaljert GoF'!$F77, 0)</f>
        <v>0</v>
      </c>
      <c r="H77" s="330">
        <f>IF('Tillegg- Inndata GoF'!AC75="Ja", -0.4*'Tillegg- Res. detaljert GoF'!$F77, 0)</f>
        <v>0</v>
      </c>
      <c r="I77" s="330">
        <f>IF('Tillegg- Inndata GoF'!AD75="Ja", -1*'Tillegg- Res. detaljert GoF'!$F77, 0)</f>
        <v>0</v>
      </c>
      <c r="J77" s="330">
        <f>'Tillegg- Inndata GoF'!O75*'Tillegg- Inndata GoF'!P75</f>
        <v>0</v>
      </c>
      <c r="K77" s="330">
        <f>MAX(-0.75*(SUM('Tillegg- Res. detaljert GoF'!F77:J77)),-'Tillegg- Inndata GoF'!O75*'Tillegg- Inndata GoF'!Q75)</f>
        <v>0</v>
      </c>
      <c r="L77" s="330">
        <f>'Tillegg- Inndata GoF'!S75*'Tillegg- Inndata GoF'!T75</f>
        <v>0</v>
      </c>
      <c r="M77" s="330">
        <f>MAX(-0.75*(SUM('Tillegg- Res. detaljert GoF'!F77:I77,L77)),-'Tillegg- Inndata GoF'!S75*'Tillegg- Inndata GoF'!U75)</f>
        <v>0</v>
      </c>
      <c r="N77" s="331">
        <f>'Tillegg- Inndata GoF'!F75</f>
        <v>0</v>
      </c>
      <c r="O77" s="330">
        <f>'Tillegg- Inndata GoF'!O75*'Tillegg- Inndata GoF'!R75</f>
        <v>0</v>
      </c>
      <c r="P77" s="332">
        <f>'Tillegg- Inndata GoF'!S75*'Tillegg- Inndata GoF'!V75</f>
        <v>0</v>
      </c>
      <c r="Q77" s="333">
        <f>SUM(F77:J77,L77)*'Tillegg- Inndata GoF'!K75</f>
        <v>0</v>
      </c>
      <c r="R77" s="333">
        <f>(K77+M77)*'Tillegg- Inndata GoF'!K75</f>
        <v>0</v>
      </c>
      <c r="S77" s="333">
        <f>SUM(N77:P77)*'Tillegg- Inndata GoF'!K75</f>
        <v>0</v>
      </c>
      <c r="T77" s="334">
        <f>('Tillegg- Inndata GoF'!G75+'Tillegg- Inndata GoF'!O75+'Tillegg- Inndata GoF'!S75)*'Tillegg- Inndata GoF'!K75*Transport_utslipp_til_avfallshånderting_per_kg</f>
        <v>0</v>
      </c>
      <c r="U77" s="330">
        <f>IF('Tillegg- Inndata GoF'!E75 = 0, 0, 1.833*'Tillegg- Inndata GoF'!X75*'Tillegg- Inndata GoF'!K75*('Tillegg- Inndata GoF'!G75*('Tillegg- Inndata GoF'!L75*0.5+'Tillegg- Inndata GoF'!M75*0.8) + (12/44)*('Tillegg- Inndata GoF'!O75*'Tillegg- Inndata GoF'!Q75+'Tillegg- Inndata GoF'!S75*'Tillegg- Inndata GoF'!U75)))</f>
        <v>0</v>
      </c>
      <c r="V77" s="335">
        <f>IF('Tillegg- Inndata GoF'!G75 = 0, 0,  MAX(-SUM(F77:J77,L77)*'Tillegg- Inndata GoF'!L75, -0.114*IF('Tillegg- Inndata GoF'!H75 &gt; 49, _xlfn.XLOOKUP(49, År_etter_ferdigstillelse, karbon_opptak_faktor), _xlfn.XLOOKUP('Tillegg- Inndata GoF'!H75, År_etter_ferdigstillelse, karbon_opptak_faktor))*'Tillegg- Inndata GoF'!G75*'Tillegg- Inndata GoF'!L75*0.5))</f>
        <v>0</v>
      </c>
      <c r="W77" s="333">
        <f>IF('Tillegg- Inndata GoF'!G75=0,0,IF('Tillegg- Inndata GoF'!H75&gt;49,-0.064*'Tillegg- Inndata GoF'!G75*'Tillegg- Inndata GoF'!N75,-0.037*'Tillegg- Inndata GoF'!J75*'Tillegg- Inndata GoF'!N75))</f>
        <v>0</v>
      </c>
      <c r="X77" s="331" cm="1">
        <f t="array" ref="X77">IF(SUM(F77:J77,L77)=0, 0, SUM(F77:J77,L77)*(1+'Tillegg-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Y77" s="330" cm="1">
        <f t="array" ref="Y77">IF(X77=0, 0, SUM(K77,M77)*(1+'Tillegg-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Z77" s="336" cm="1">
        <f t="array" ref="Z77">IF(X77=0, 0, SUM(N77:P77)*(1+'Tillegg-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AA77" s="336" cm="1">
        <f t="array" ref="AA77">IF(X77=0, 0, ('Tillegg- Inndata GoF'!G75+'Tillegg- Inndata GoF'!O75+'Tillegg- Inndata GoF'!S75)*(1+'Tillegg- Inndata GoF'!K75)*Transport_utslipp_til_avfallshånderting_per_kg*IF('Tillegg- Inndata GoF'!H75&gt;50, 0, _xlfn.XLOOKUP('Tillegg- Inndata GoF'!H75, År_etter_ferdigstillelse, IF(VALUE(LEFT('Tillegg- Inndata GoF'!B75, 2))= 49, f_tid_x_f_tek_d_0_037_kumulativ, f_tid_x_f_tek_d_0_01_kumulativ))))</f>
        <v>0</v>
      </c>
      <c r="AB77" s="334" cm="1">
        <f t="array" ref="AB77">IF(X77=0, 0,1.833*'Tillegg- Inndata GoF'!J75*('Tillegg- Inndata GoF'!X75*_xlfn.XLOOKUP(IF('Tillegg- Inndata GoF'!I75&lt;2,'Tillegg- Inndata GoF'!H75,'Tillegg- Inndata GoF'!H75*2), År_etter_ferdigstillelse, Faktorer!$Z$7:$Z$58))*('Tillegg- Inndata GoF'!L75*0.5+'Tillegg- Inndata GoF'!M75*0.8)*_xlfn.XLOOKUP(IF('Tillegg- Inndata GoF'!I75&lt;2,'Tillegg- Inndata GoF'!H75,'Tillegg- Inndata GoF'!H75*2), År_etter_ferdigstillelse,  IF(LEFT('Tillegg- Inndata GoF'!B75, 2)= 49, f_tid_x_f_tek_d_0_037, f_tid_x_f_tek_d_0_01)))</f>
        <v>0</v>
      </c>
      <c r="AC77" s="335">
        <f>IF(('Tillegg- Inndata GoF'!G75) = 0, 0,(('Tillegg- Inndata GoF'!G75)*((AG77+AI77)*Transport_utslipp_til_avfallshånderting_per_kg)+('Tillegg- Inndata GoF'!Z75*'ZERO-B Beregning'!D177)*IF('ZERO-B Beregning'!F178=0,'ZERO-B Beregning'!D178,'ZERO-B Beregning'!F178))*_xlfn.XLOOKUP(51, År_etter_ferdigstillelse, f_tid_x_f_tek_d_0_01))</f>
        <v>0</v>
      </c>
      <c r="AD77" s="337">
        <f>IF(('Tillegg- Inndata GoF'!G75) = 0, 0,1.833*('Tillegg- Inndata GoF'!G75*('Tillegg- Inndata GoF'!L75*0.5+'Tillegg- Inndata GoF'!M75*0.8)*AG77*_xlfn.XLOOKUP(51, År_etter_ferdigstillelse,  f_tid_x_f_tek_d_0_01)))</f>
        <v>0</v>
      </c>
      <c r="AE77" s="333" cm="1">
        <f t="array" ref="AE77">IF(('Tillegg- Inndata GoF'!G75) = 0, 0,-0.8*('Tillegg- Inndata GoF'!G75)*AH77*('Tillegg- Inndata GoF'!E75/'Tillegg- Inndata GoF'!G75)*_xlfn.XLOOKUP(51, År_etter_ferdigstillelse,  IF(LEFT('Tillegg- Inndata GoF'!B75, 2)= 49, f_tid_x_f_tek_d_0_037, f_tid_x_f_tek_d_0_01)))</f>
        <v>0</v>
      </c>
      <c r="AF77" s="338" cm="1">
        <f t="array" ref="AF77">IF(('Tillegg- Inndata GoF'!G75) = 0, 0,-0.1*('Tillegg- Inndata GoF'!G75)*AI77*('Tillegg- Inndata GoF'!E75/'Tillegg- Inndata GoF'!G75)*_xlfn.XLOOKUP(51, År_etter_ferdigstillelse,  IF(LEFT('Tillegg- Inndata GoF'!B75, 2)= 49, f_tid_x_f_tek_d_0_037, f_tid_x_f_tek_d_0_01)))</f>
        <v>0</v>
      </c>
      <c r="AG77" s="572">
        <f>IF(('Tillegg- Inndata GoF'!G75) = 0, 0,'Tillegg- Inndata GoF'!X75*Faktorer!$Z$58)</f>
        <v>0</v>
      </c>
      <c r="AH77" s="573">
        <f>IF(('Tillegg- Inndata GoF'!G75) = 0, 0,'Tillegg- Inndata GoF'!Z75+('Tillegg- Inndata GoF'!X75+'Tillegg- Inndata GoF'!Y75)*(1-Faktorer!$Z$58)*0.5)</f>
        <v>0</v>
      </c>
      <c r="AI77" s="574">
        <f>IF(('Tillegg- Inndata GoF'!G75) = 0, 0,'Tillegg- Inndata GoF'!AA75+('Tillegg- Inndata GoF'!X75+'Tillegg- Inndata GoF'!Y75)*(1-Faktorer!$Z$58)*0.5)</f>
        <v>0</v>
      </c>
      <c r="AK77" s="90">
        <f t="shared" si="1"/>
        <v>0</v>
      </c>
      <c r="AL77" s="91">
        <f>'Tillegg- Res. detaljert GoF'!N77</f>
        <v>0</v>
      </c>
      <c r="AM77" s="91" t="str">
        <f>IF(F77=0,"",('Tillegg- Inndata GoF'!E77+'Tillegg- Inndata GoF'!F77)*ROUNDDOWN('Tillegg- Inndata GoF'!I77,0)*(1+'Tillegg- Inndata GoF'!K77))</f>
        <v/>
      </c>
    </row>
    <row r="78" spans="2:39">
      <c r="B78" s="327">
        <f>'Tillegg- Inndata GoF'!B76</f>
        <v>0</v>
      </c>
      <c r="C78" s="328">
        <f>'Tillegg- Inndata GoF'!C76</f>
        <v>0</v>
      </c>
      <c r="D78" s="329">
        <f>'Tillegg- Inndata GoF'!D76</f>
        <v>0</v>
      </c>
      <c r="E78" s="661" cm="1">
        <f t="array" ref="E78">SUM(IFERROR(F78:AF78,0))</f>
        <v>0</v>
      </c>
      <c r="F78" s="330">
        <f>'Tillegg- Inndata GoF'!E76</f>
        <v>0</v>
      </c>
      <c r="G78" s="330">
        <f>IF('Tillegg- Inndata GoF'!AB76="Ja", -0.8*'Tillegg- Res. detaljert GoF'!$F78, 0)</f>
        <v>0</v>
      </c>
      <c r="H78" s="330">
        <f>IF('Tillegg- Inndata GoF'!AC76="Ja", -0.4*'Tillegg- Res. detaljert GoF'!$F78, 0)</f>
        <v>0</v>
      </c>
      <c r="I78" s="330">
        <f>IF('Tillegg- Inndata GoF'!AD76="Ja", -1*'Tillegg- Res. detaljert GoF'!$F78, 0)</f>
        <v>0</v>
      </c>
      <c r="J78" s="330">
        <f>'Tillegg- Inndata GoF'!O76*'Tillegg- Inndata GoF'!P76</f>
        <v>0</v>
      </c>
      <c r="K78" s="330">
        <f>MAX(-0.75*(SUM('Tillegg- Res. detaljert GoF'!F78:J78)),-'Tillegg- Inndata GoF'!O76*'Tillegg- Inndata GoF'!Q76)</f>
        <v>0</v>
      </c>
      <c r="L78" s="330">
        <f>'Tillegg- Inndata GoF'!S76*'Tillegg- Inndata GoF'!T76</f>
        <v>0</v>
      </c>
      <c r="M78" s="330">
        <f>MAX(-0.75*(SUM('Tillegg- Res. detaljert GoF'!F78:I78,L78)),-'Tillegg- Inndata GoF'!S76*'Tillegg- Inndata GoF'!U76)</f>
        <v>0</v>
      </c>
      <c r="N78" s="331">
        <f>'Tillegg- Inndata GoF'!F76</f>
        <v>0</v>
      </c>
      <c r="O78" s="330">
        <f>'Tillegg- Inndata GoF'!O76*'Tillegg- Inndata GoF'!R76</f>
        <v>0</v>
      </c>
      <c r="P78" s="332">
        <f>'Tillegg- Inndata GoF'!S76*'Tillegg- Inndata GoF'!V76</f>
        <v>0</v>
      </c>
      <c r="Q78" s="333">
        <f>SUM(F78:J78,L78)*'Tillegg- Inndata GoF'!K76</f>
        <v>0</v>
      </c>
      <c r="R78" s="333">
        <f>(K78+M78)*'Tillegg- Inndata GoF'!K76</f>
        <v>0</v>
      </c>
      <c r="S78" s="333">
        <f>SUM(N78:P78)*'Tillegg- Inndata GoF'!K76</f>
        <v>0</v>
      </c>
      <c r="T78" s="334">
        <f>('Tillegg- Inndata GoF'!G76+'Tillegg- Inndata GoF'!O76+'Tillegg- Inndata GoF'!S76)*'Tillegg- Inndata GoF'!K76*Transport_utslipp_til_avfallshånderting_per_kg</f>
        <v>0</v>
      </c>
      <c r="U78" s="330">
        <f>IF('Tillegg- Inndata GoF'!E76 = 0, 0, 1.833*'Tillegg- Inndata GoF'!X76*'Tillegg- Inndata GoF'!K76*('Tillegg- Inndata GoF'!G76*('Tillegg- Inndata GoF'!L76*0.5+'Tillegg- Inndata GoF'!M76*0.8) + (12/44)*('Tillegg- Inndata GoF'!O76*'Tillegg- Inndata GoF'!Q76+'Tillegg- Inndata GoF'!S76*'Tillegg- Inndata GoF'!U76)))</f>
        <v>0</v>
      </c>
      <c r="V78" s="335">
        <f>IF('Tillegg- Inndata GoF'!G76 = 0, 0,  MAX(-SUM(F78:J78,L78)*'Tillegg- Inndata GoF'!L76, -0.114*IF('Tillegg- Inndata GoF'!H76 &gt; 49, _xlfn.XLOOKUP(49, År_etter_ferdigstillelse, karbon_opptak_faktor), _xlfn.XLOOKUP('Tillegg- Inndata GoF'!H76, År_etter_ferdigstillelse, karbon_opptak_faktor))*'Tillegg- Inndata GoF'!G76*'Tillegg- Inndata GoF'!L76*0.5))</f>
        <v>0</v>
      </c>
      <c r="W78" s="333">
        <f>IF('Tillegg- Inndata GoF'!G76=0,0,IF('Tillegg- Inndata GoF'!H76&gt;49,-0.064*'Tillegg- Inndata GoF'!G76*'Tillegg- Inndata GoF'!N76,-0.037*'Tillegg- Inndata GoF'!J76*'Tillegg- Inndata GoF'!N76))</f>
        <v>0</v>
      </c>
      <c r="X78" s="331" cm="1">
        <f t="array" ref="X78">IF(SUM(F78:J78,L78)=0, 0, SUM(F78:J78,L78)*(1+'Tillegg-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Y78" s="330" cm="1">
        <f t="array" ref="Y78">IF(X78=0, 0, SUM(K78,M78)*(1+'Tillegg-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Z78" s="336" cm="1">
        <f t="array" ref="Z78">IF(X78=0, 0, SUM(N78:P78)*(1+'Tillegg-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AA78" s="336" cm="1">
        <f t="array" ref="AA78">IF(X78=0, 0, ('Tillegg- Inndata GoF'!G76+'Tillegg- Inndata GoF'!O76+'Tillegg- Inndata GoF'!S76)*(1+'Tillegg- Inndata GoF'!K76)*Transport_utslipp_til_avfallshånderting_per_kg*IF('Tillegg- Inndata GoF'!H76&gt;50, 0, _xlfn.XLOOKUP('Tillegg- Inndata GoF'!H76, År_etter_ferdigstillelse, IF(VALUE(LEFT('Tillegg- Inndata GoF'!B76, 2))= 49, f_tid_x_f_tek_d_0_037_kumulativ, f_tid_x_f_tek_d_0_01_kumulativ))))</f>
        <v>0</v>
      </c>
      <c r="AB78" s="334" cm="1">
        <f t="array" ref="AB78">IF(X78=0, 0,1.833*'Tillegg- Inndata GoF'!J76*('Tillegg- Inndata GoF'!X76*_xlfn.XLOOKUP(IF('Tillegg- Inndata GoF'!I76&lt;2,'Tillegg- Inndata GoF'!H76,'Tillegg- Inndata GoF'!H76*2), År_etter_ferdigstillelse, Faktorer!$Z$7:$Z$58))*('Tillegg- Inndata GoF'!L76*0.5+'Tillegg- Inndata GoF'!M76*0.8)*_xlfn.XLOOKUP(IF('Tillegg- Inndata GoF'!I76&lt;2,'Tillegg- Inndata GoF'!H76,'Tillegg- Inndata GoF'!H76*2), År_etter_ferdigstillelse,  IF(LEFT('Tillegg- Inndata GoF'!B76, 2)= 49, f_tid_x_f_tek_d_0_037, f_tid_x_f_tek_d_0_01)))</f>
        <v>0</v>
      </c>
      <c r="AC78" s="335">
        <f>IF(('Tillegg- Inndata GoF'!G76) = 0, 0,(('Tillegg- Inndata GoF'!G76)*((AG78+AI78)*Transport_utslipp_til_avfallshånderting_per_kg)+('Tillegg- Inndata GoF'!Z76*'ZERO-B Beregning'!D178)*IF('ZERO-B Beregning'!F179=0,'ZERO-B Beregning'!D179,'ZERO-B Beregning'!F179))*_xlfn.XLOOKUP(51, År_etter_ferdigstillelse, f_tid_x_f_tek_d_0_01))</f>
        <v>0</v>
      </c>
      <c r="AD78" s="337">
        <f>IF(('Tillegg- Inndata GoF'!G76) = 0, 0,1.833*('Tillegg- Inndata GoF'!G76*('Tillegg- Inndata GoF'!L76*0.5+'Tillegg- Inndata GoF'!M76*0.8)*AG78*_xlfn.XLOOKUP(51, År_etter_ferdigstillelse,  f_tid_x_f_tek_d_0_01)))</f>
        <v>0</v>
      </c>
      <c r="AE78" s="333" cm="1">
        <f t="array" ref="AE78">IF(('Tillegg- Inndata GoF'!G76) = 0, 0,-0.8*('Tillegg- Inndata GoF'!G76)*AH78*('Tillegg- Inndata GoF'!E76/'Tillegg- Inndata GoF'!G76)*_xlfn.XLOOKUP(51, År_etter_ferdigstillelse,  IF(LEFT('Tillegg- Inndata GoF'!B76, 2)= 49, f_tid_x_f_tek_d_0_037, f_tid_x_f_tek_d_0_01)))</f>
        <v>0</v>
      </c>
      <c r="AF78" s="338" cm="1">
        <f t="array" ref="AF78">IF(('Tillegg- Inndata GoF'!G76) = 0, 0,-0.1*('Tillegg- Inndata GoF'!G76)*AI78*('Tillegg- Inndata GoF'!E76/'Tillegg- Inndata GoF'!G76)*_xlfn.XLOOKUP(51, År_etter_ferdigstillelse,  IF(LEFT('Tillegg- Inndata GoF'!B76, 2)= 49, f_tid_x_f_tek_d_0_037, f_tid_x_f_tek_d_0_01)))</f>
        <v>0</v>
      </c>
      <c r="AG78" s="572">
        <f>IF(('Tillegg- Inndata GoF'!G76) = 0, 0,'Tillegg- Inndata GoF'!X76*Faktorer!$Z$58)</f>
        <v>0</v>
      </c>
      <c r="AH78" s="573">
        <f>IF(('Tillegg- Inndata GoF'!G76) = 0, 0,'Tillegg- Inndata GoF'!Z76+('Tillegg- Inndata GoF'!X76+'Tillegg- Inndata GoF'!Y76)*(1-Faktorer!$Z$58)*0.5)</f>
        <v>0</v>
      </c>
      <c r="AI78" s="574">
        <f>IF(('Tillegg- Inndata GoF'!G76) = 0, 0,'Tillegg- Inndata GoF'!AA76+('Tillegg- Inndata GoF'!X76+'Tillegg- Inndata GoF'!Y76)*(1-Faktorer!$Z$58)*0.5)</f>
        <v>0</v>
      </c>
      <c r="AK78" s="90">
        <f t="shared" si="1"/>
        <v>0</v>
      </c>
      <c r="AL78" s="91">
        <f>'Tillegg- Res. detaljert GoF'!N78</f>
        <v>0</v>
      </c>
      <c r="AM78" s="91" t="str">
        <f>IF(F78=0,"",('Tillegg- Inndata GoF'!E78+'Tillegg- Inndata GoF'!F78)*ROUNDDOWN('Tillegg- Inndata GoF'!I78,0)*(1+'Tillegg- Inndata GoF'!K78))</f>
        <v/>
      </c>
    </row>
    <row r="79" spans="2:39">
      <c r="B79" s="327">
        <f>'Tillegg- Inndata GoF'!B77</f>
        <v>0</v>
      </c>
      <c r="C79" s="328">
        <f>'Tillegg- Inndata GoF'!C77</f>
        <v>0</v>
      </c>
      <c r="D79" s="329">
        <f>'Tillegg- Inndata GoF'!D77</f>
        <v>0</v>
      </c>
      <c r="E79" s="661" cm="1">
        <f t="array" ref="E79">SUM(IFERROR(F79:AF79,0))</f>
        <v>0</v>
      </c>
      <c r="F79" s="330">
        <f>'Tillegg- Inndata GoF'!E77</f>
        <v>0</v>
      </c>
      <c r="G79" s="330">
        <f>IF('Tillegg- Inndata GoF'!AB77="Ja", -0.8*'Tillegg- Res. detaljert GoF'!$F79, 0)</f>
        <v>0</v>
      </c>
      <c r="H79" s="330">
        <f>IF('Tillegg- Inndata GoF'!AC77="Ja", -0.4*'Tillegg- Res. detaljert GoF'!$F79, 0)</f>
        <v>0</v>
      </c>
      <c r="I79" s="330">
        <f>IF('Tillegg- Inndata GoF'!AD77="Ja", -1*'Tillegg- Res. detaljert GoF'!$F79, 0)</f>
        <v>0</v>
      </c>
      <c r="J79" s="330">
        <f>'Tillegg- Inndata GoF'!O77*'Tillegg- Inndata GoF'!P77</f>
        <v>0</v>
      </c>
      <c r="K79" s="330">
        <f>MAX(-0.75*(SUM('Tillegg- Res. detaljert GoF'!F79:J79)),-'Tillegg- Inndata GoF'!O77*'Tillegg- Inndata GoF'!Q77)</f>
        <v>0</v>
      </c>
      <c r="L79" s="330">
        <f>'Tillegg- Inndata GoF'!S77*'Tillegg- Inndata GoF'!T77</f>
        <v>0</v>
      </c>
      <c r="M79" s="330">
        <f>MAX(-0.75*(SUM('Tillegg- Res. detaljert GoF'!F79:I79,L79)),-'Tillegg- Inndata GoF'!S77*'Tillegg- Inndata GoF'!U77)</f>
        <v>0</v>
      </c>
      <c r="N79" s="331">
        <f>'Tillegg- Inndata GoF'!F77</f>
        <v>0</v>
      </c>
      <c r="O79" s="330">
        <f>'Tillegg- Inndata GoF'!O77*'Tillegg- Inndata GoF'!R77</f>
        <v>0</v>
      </c>
      <c r="P79" s="332">
        <f>'Tillegg- Inndata GoF'!S77*'Tillegg- Inndata GoF'!V77</f>
        <v>0</v>
      </c>
      <c r="Q79" s="333">
        <f>SUM(F79:J79,L79)*'Tillegg- Inndata GoF'!K77</f>
        <v>0</v>
      </c>
      <c r="R79" s="333">
        <f>(K79+M79)*'Tillegg- Inndata GoF'!K77</f>
        <v>0</v>
      </c>
      <c r="S79" s="333">
        <f>SUM(N79:P79)*'Tillegg- Inndata GoF'!K77</f>
        <v>0</v>
      </c>
      <c r="T79" s="334">
        <f>('Tillegg- Inndata GoF'!G77+'Tillegg- Inndata GoF'!O77+'Tillegg- Inndata GoF'!S77)*'Tillegg- Inndata GoF'!K77*Transport_utslipp_til_avfallshånderting_per_kg</f>
        <v>0</v>
      </c>
      <c r="U79" s="330">
        <f>IF('Tillegg- Inndata GoF'!E77 = 0, 0, 1.833*'Tillegg- Inndata GoF'!X77*'Tillegg- Inndata GoF'!K77*('Tillegg- Inndata GoF'!G77*('Tillegg- Inndata GoF'!L77*0.5+'Tillegg- Inndata GoF'!M77*0.8) + (12/44)*('Tillegg- Inndata GoF'!O77*'Tillegg- Inndata GoF'!Q77+'Tillegg- Inndata GoF'!S77*'Tillegg- Inndata GoF'!U77)))</f>
        <v>0</v>
      </c>
      <c r="V79" s="335">
        <f>IF('Tillegg- Inndata GoF'!G77 = 0, 0,  MAX(-SUM(F79:J79,L79)*'Tillegg- Inndata GoF'!L77, -0.114*IF('Tillegg- Inndata GoF'!H77 &gt; 49, _xlfn.XLOOKUP(49, År_etter_ferdigstillelse, karbon_opptak_faktor), _xlfn.XLOOKUP('Tillegg- Inndata GoF'!H77, År_etter_ferdigstillelse, karbon_opptak_faktor))*'Tillegg- Inndata GoF'!G77*'Tillegg- Inndata GoF'!L77*0.5))</f>
        <v>0</v>
      </c>
      <c r="W79" s="333">
        <f>IF('Tillegg- Inndata GoF'!G77=0,0,IF('Tillegg- Inndata GoF'!H77&gt;49,-0.064*'Tillegg- Inndata GoF'!G77*'Tillegg- Inndata GoF'!N77,-0.037*'Tillegg- Inndata GoF'!J77*'Tillegg- Inndata GoF'!N77))</f>
        <v>0</v>
      </c>
      <c r="X79" s="331" cm="1">
        <f t="array" ref="X79">IF(SUM(F79:J79,L79)=0, 0, SUM(F79:J79,L79)*(1+'Tillegg-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Y79" s="330" cm="1">
        <f t="array" ref="Y79">IF(X79=0, 0, SUM(K79,M79)*(1+'Tillegg-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Z79" s="336" cm="1">
        <f t="array" ref="Z79">IF(X79=0, 0, SUM(N79:P79)*(1+'Tillegg-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AA79" s="336" cm="1">
        <f t="array" ref="AA79">IF(X79=0, 0, ('Tillegg- Inndata GoF'!G77+'Tillegg- Inndata GoF'!O77+'Tillegg- Inndata GoF'!S77)*(1+'Tillegg- Inndata GoF'!K77)*Transport_utslipp_til_avfallshånderting_per_kg*IF('Tillegg- Inndata GoF'!H77&gt;50, 0, _xlfn.XLOOKUP('Tillegg- Inndata GoF'!H77, År_etter_ferdigstillelse, IF(VALUE(LEFT('Tillegg- Inndata GoF'!B77, 2))= 49, f_tid_x_f_tek_d_0_037_kumulativ, f_tid_x_f_tek_d_0_01_kumulativ))))</f>
        <v>0</v>
      </c>
      <c r="AB79" s="334" cm="1">
        <f t="array" ref="AB79">IF(X79=0, 0,1.833*'Tillegg- Inndata GoF'!J77*('Tillegg- Inndata GoF'!X77*_xlfn.XLOOKUP(IF('Tillegg- Inndata GoF'!I77&lt;2,'Tillegg- Inndata GoF'!H77,'Tillegg- Inndata GoF'!H77*2), År_etter_ferdigstillelse, Faktorer!$Z$7:$Z$58))*('Tillegg- Inndata GoF'!L77*0.5+'Tillegg- Inndata GoF'!M77*0.8)*_xlfn.XLOOKUP(IF('Tillegg- Inndata GoF'!I77&lt;2,'Tillegg- Inndata GoF'!H77,'Tillegg- Inndata GoF'!H77*2), År_etter_ferdigstillelse,  IF(LEFT('Tillegg- Inndata GoF'!B77, 2)= 49, f_tid_x_f_tek_d_0_037, f_tid_x_f_tek_d_0_01)))</f>
        <v>0</v>
      </c>
      <c r="AC79" s="335">
        <f>IF(('Tillegg- Inndata GoF'!G77) = 0, 0,(('Tillegg- Inndata GoF'!G77)*((AG79+AI79)*Transport_utslipp_til_avfallshånderting_per_kg)+('Tillegg- Inndata GoF'!Z77*'ZERO-B Beregning'!D179)*IF('ZERO-B Beregning'!F180=0,'ZERO-B Beregning'!D180,'ZERO-B Beregning'!F180))*_xlfn.XLOOKUP(51, År_etter_ferdigstillelse, f_tid_x_f_tek_d_0_01))</f>
        <v>0</v>
      </c>
      <c r="AD79" s="337">
        <f>IF(('Tillegg- Inndata GoF'!G77) = 0, 0,1.833*('Tillegg- Inndata GoF'!G77*('Tillegg- Inndata GoF'!L77*0.5+'Tillegg- Inndata GoF'!M77*0.8)*AG79*_xlfn.XLOOKUP(51, År_etter_ferdigstillelse,  f_tid_x_f_tek_d_0_01)))</f>
        <v>0</v>
      </c>
      <c r="AE79" s="333" cm="1">
        <f t="array" ref="AE79">IF(('Tillegg- Inndata GoF'!G77) = 0, 0,-0.8*('Tillegg- Inndata GoF'!G77)*AH79*('Tillegg- Inndata GoF'!E77/'Tillegg- Inndata GoF'!G77)*_xlfn.XLOOKUP(51, År_etter_ferdigstillelse,  IF(LEFT('Tillegg- Inndata GoF'!B77, 2)= 49, f_tid_x_f_tek_d_0_037, f_tid_x_f_tek_d_0_01)))</f>
        <v>0</v>
      </c>
      <c r="AF79" s="338" cm="1">
        <f t="array" ref="AF79">IF(('Tillegg- Inndata GoF'!G77) = 0, 0,-0.1*('Tillegg- Inndata GoF'!G77)*AI79*('Tillegg- Inndata GoF'!E77/'Tillegg- Inndata GoF'!G77)*_xlfn.XLOOKUP(51, År_etter_ferdigstillelse,  IF(LEFT('Tillegg- Inndata GoF'!B77, 2)= 49, f_tid_x_f_tek_d_0_037, f_tid_x_f_tek_d_0_01)))</f>
        <v>0</v>
      </c>
      <c r="AG79" s="572">
        <f>IF(('Tillegg- Inndata GoF'!G77) = 0, 0,'Tillegg- Inndata GoF'!X77*Faktorer!$Z$58)</f>
        <v>0</v>
      </c>
      <c r="AH79" s="573">
        <f>IF(('Tillegg- Inndata GoF'!G77) = 0, 0,'Tillegg- Inndata GoF'!Z77+('Tillegg- Inndata GoF'!X77+'Tillegg- Inndata GoF'!Y77)*(1-Faktorer!$Z$58)*0.5)</f>
        <v>0</v>
      </c>
      <c r="AI79" s="574">
        <f>IF(('Tillegg- Inndata GoF'!G77) = 0, 0,'Tillegg- Inndata GoF'!AA77+('Tillegg- Inndata GoF'!X77+'Tillegg- Inndata GoF'!Y77)*(1-Faktorer!$Z$58)*0.5)</f>
        <v>0</v>
      </c>
      <c r="AK79" s="90">
        <f t="shared" ref="AK79:AK142" si="2">F79</f>
        <v>0</v>
      </c>
      <c r="AL79" s="91">
        <f>'Tillegg- Res. detaljert GoF'!N79</f>
        <v>0</v>
      </c>
      <c r="AM79" s="91" t="str">
        <f>IF(F79=0,"",('Tillegg- Inndata GoF'!E79+'Tillegg- Inndata GoF'!F79)*ROUNDDOWN('Tillegg- Inndata GoF'!I79,0)*(1+'Tillegg- Inndata GoF'!K79))</f>
        <v/>
      </c>
    </row>
    <row r="80" spans="2:39">
      <c r="B80" s="327">
        <f>'Tillegg- Inndata GoF'!B78</f>
        <v>0</v>
      </c>
      <c r="C80" s="328">
        <f>'Tillegg- Inndata GoF'!C78</f>
        <v>0</v>
      </c>
      <c r="D80" s="329">
        <f>'Tillegg- Inndata GoF'!D78</f>
        <v>0</v>
      </c>
      <c r="E80" s="661" cm="1">
        <f t="array" ref="E80">SUM(IFERROR(F80:AF80,0))</f>
        <v>0</v>
      </c>
      <c r="F80" s="330">
        <f>'Tillegg- Inndata GoF'!E78</f>
        <v>0</v>
      </c>
      <c r="G80" s="330">
        <f>IF('Tillegg- Inndata GoF'!AB78="Ja", -0.8*'Tillegg- Res. detaljert GoF'!$F80, 0)</f>
        <v>0</v>
      </c>
      <c r="H80" s="330">
        <f>IF('Tillegg- Inndata GoF'!AC78="Ja", -0.4*'Tillegg- Res. detaljert GoF'!$F80, 0)</f>
        <v>0</v>
      </c>
      <c r="I80" s="330">
        <f>IF('Tillegg- Inndata GoF'!AD78="Ja", -1*'Tillegg- Res. detaljert GoF'!$F80, 0)</f>
        <v>0</v>
      </c>
      <c r="J80" s="330">
        <f>'Tillegg- Inndata GoF'!O78*'Tillegg- Inndata GoF'!P78</f>
        <v>0</v>
      </c>
      <c r="K80" s="330">
        <f>MAX(-0.75*(SUM('Tillegg- Res. detaljert GoF'!F80:J80)),-'Tillegg- Inndata GoF'!O78*'Tillegg- Inndata GoF'!Q78)</f>
        <v>0</v>
      </c>
      <c r="L80" s="330">
        <f>'Tillegg- Inndata GoF'!S78*'Tillegg- Inndata GoF'!T78</f>
        <v>0</v>
      </c>
      <c r="M80" s="330">
        <f>MAX(-0.75*(SUM('Tillegg- Res. detaljert GoF'!F80:I80,L80)),-'Tillegg- Inndata GoF'!S78*'Tillegg- Inndata GoF'!U78)</f>
        <v>0</v>
      </c>
      <c r="N80" s="331">
        <f>'Tillegg- Inndata GoF'!F78</f>
        <v>0</v>
      </c>
      <c r="O80" s="330">
        <f>'Tillegg- Inndata GoF'!O78*'Tillegg- Inndata GoF'!R78</f>
        <v>0</v>
      </c>
      <c r="P80" s="332">
        <f>'Tillegg- Inndata GoF'!S78*'Tillegg- Inndata GoF'!V78</f>
        <v>0</v>
      </c>
      <c r="Q80" s="333">
        <f>SUM(F80:J80,L80)*'Tillegg- Inndata GoF'!K78</f>
        <v>0</v>
      </c>
      <c r="R80" s="333">
        <f>(K80+M80)*'Tillegg- Inndata GoF'!K78</f>
        <v>0</v>
      </c>
      <c r="S80" s="333">
        <f>SUM(N80:P80)*'Tillegg- Inndata GoF'!K78</f>
        <v>0</v>
      </c>
      <c r="T80" s="334">
        <f>('Tillegg- Inndata GoF'!G78+'Tillegg- Inndata GoF'!O78+'Tillegg- Inndata GoF'!S78)*'Tillegg- Inndata GoF'!K78*Transport_utslipp_til_avfallshånderting_per_kg</f>
        <v>0</v>
      </c>
      <c r="U80" s="330">
        <f>IF('Tillegg- Inndata GoF'!E78 = 0, 0, 1.833*'Tillegg- Inndata GoF'!X78*'Tillegg- Inndata GoF'!K78*('Tillegg- Inndata GoF'!G78*('Tillegg- Inndata GoF'!L78*0.5+'Tillegg- Inndata GoF'!M78*0.8) + (12/44)*('Tillegg- Inndata GoF'!O78*'Tillegg- Inndata GoF'!Q78+'Tillegg- Inndata GoF'!S78*'Tillegg- Inndata GoF'!U78)))</f>
        <v>0</v>
      </c>
      <c r="V80" s="335">
        <f>IF('Tillegg- Inndata GoF'!G78 = 0, 0,  MAX(-SUM(F80:J80,L80)*'Tillegg- Inndata GoF'!L78, -0.114*IF('Tillegg- Inndata GoF'!H78 &gt; 49, _xlfn.XLOOKUP(49, År_etter_ferdigstillelse, karbon_opptak_faktor), _xlfn.XLOOKUP('Tillegg- Inndata GoF'!H78, År_etter_ferdigstillelse, karbon_opptak_faktor))*'Tillegg- Inndata GoF'!G78*'Tillegg- Inndata GoF'!L78*0.5))</f>
        <v>0</v>
      </c>
      <c r="W80" s="333">
        <f>IF('Tillegg- Inndata GoF'!G78=0,0,IF('Tillegg- Inndata GoF'!H78&gt;49,-0.064*'Tillegg- Inndata GoF'!G78*'Tillegg- Inndata GoF'!N78,-0.037*'Tillegg- Inndata GoF'!J78*'Tillegg- Inndata GoF'!N78))</f>
        <v>0</v>
      </c>
      <c r="X80" s="331" cm="1">
        <f t="array" ref="X80">IF(SUM(F80:J80,L80)=0, 0, SUM(F80:J80,L80)*(1+'Tillegg-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Y80" s="330" cm="1">
        <f t="array" ref="Y80">IF(X80=0, 0, SUM(K80,M80)*(1+'Tillegg-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Z80" s="336" cm="1">
        <f t="array" ref="Z80">IF(X80=0, 0, SUM(N80:P80)*(1+'Tillegg-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AA80" s="336" cm="1">
        <f t="array" ref="AA80">IF(X80=0, 0, ('Tillegg- Inndata GoF'!G78+'Tillegg- Inndata GoF'!O78+'Tillegg- Inndata GoF'!S78)*(1+'Tillegg- Inndata GoF'!K78)*Transport_utslipp_til_avfallshånderting_per_kg*IF('Tillegg- Inndata GoF'!H78&gt;50, 0, _xlfn.XLOOKUP('Tillegg- Inndata GoF'!H78, År_etter_ferdigstillelse, IF(VALUE(LEFT('Tillegg- Inndata GoF'!B78, 2))= 49, f_tid_x_f_tek_d_0_037_kumulativ, f_tid_x_f_tek_d_0_01_kumulativ))))</f>
        <v>0</v>
      </c>
      <c r="AB80" s="334" cm="1">
        <f t="array" ref="AB80">IF(X80=0, 0,1.833*'Tillegg- Inndata GoF'!J78*('Tillegg- Inndata GoF'!X78*_xlfn.XLOOKUP(IF('Tillegg- Inndata GoF'!I78&lt;2,'Tillegg- Inndata GoF'!H78,'Tillegg- Inndata GoF'!H78*2), År_etter_ferdigstillelse, Faktorer!$Z$7:$Z$58))*('Tillegg- Inndata GoF'!L78*0.5+'Tillegg- Inndata GoF'!M78*0.8)*_xlfn.XLOOKUP(IF('Tillegg- Inndata GoF'!I78&lt;2,'Tillegg- Inndata GoF'!H78,'Tillegg- Inndata GoF'!H78*2), År_etter_ferdigstillelse,  IF(LEFT('Tillegg- Inndata GoF'!B78, 2)= 49, f_tid_x_f_tek_d_0_037, f_tid_x_f_tek_d_0_01)))</f>
        <v>0</v>
      </c>
      <c r="AC80" s="335">
        <f>IF(('Tillegg- Inndata GoF'!G78) = 0, 0,(('Tillegg- Inndata GoF'!G78)*((AG80+AI80)*Transport_utslipp_til_avfallshånderting_per_kg)+('Tillegg- Inndata GoF'!Z78*'ZERO-B Beregning'!D180)*IF('ZERO-B Beregning'!F181=0,'ZERO-B Beregning'!D181,'ZERO-B Beregning'!F181))*_xlfn.XLOOKUP(51, År_etter_ferdigstillelse, f_tid_x_f_tek_d_0_01))</f>
        <v>0</v>
      </c>
      <c r="AD80" s="337">
        <f>IF(('Tillegg- Inndata GoF'!G78) = 0, 0,1.833*('Tillegg- Inndata GoF'!G78*('Tillegg- Inndata GoF'!L78*0.5+'Tillegg- Inndata GoF'!M78*0.8)*AG80*_xlfn.XLOOKUP(51, År_etter_ferdigstillelse,  f_tid_x_f_tek_d_0_01)))</f>
        <v>0</v>
      </c>
      <c r="AE80" s="333" cm="1">
        <f t="array" ref="AE80">IF(('Tillegg- Inndata GoF'!G78) = 0, 0,-0.8*('Tillegg- Inndata GoF'!G78)*AH80*('Tillegg- Inndata GoF'!E78/'Tillegg- Inndata GoF'!G78)*_xlfn.XLOOKUP(51, År_etter_ferdigstillelse,  IF(LEFT('Tillegg- Inndata GoF'!B78, 2)= 49, f_tid_x_f_tek_d_0_037, f_tid_x_f_tek_d_0_01)))</f>
        <v>0</v>
      </c>
      <c r="AF80" s="338" cm="1">
        <f t="array" ref="AF80">IF(('Tillegg- Inndata GoF'!G78) = 0, 0,-0.1*('Tillegg- Inndata GoF'!G78)*AI80*('Tillegg- Inndata GoF'!E78/'Tillegg- Inndata GoF'!G78)*_xlfn.XLOOKUP(51, År_etter_ferdigstillelse,  IF(LEFT('Tillegg- Inndata GoF'!B78, 2)= 49, f_tid_x_f_tek_d_0_037, f_tid_x_f_tek_d_0_01)))</f>
        <v>0</v>
      </c>
      <c r="AG80" s="572">
        <f>IF(('Tillegg- Inndata GoF'!G78) = 0, 0,'Tillegg- Inndata GoF'!X78*Faktorer!$Z$58)</f>
        <v>0</v>
      </c>
      <c r="AH80" s="573">
        <f>IF(('Tillegg- Inndata GoF'!G78) = 0, 0,'Tillegg- Inndata GoF'!Z78+('Tillegg- Inndata GoF'!X78+'Tillegg- Inndata GoF'!Y78)*(1-Faktorer!$Z$58)*0.5)</f>
        <v>0</v>
      </c>
      <c r="AI80" s="574">
        <f>IF(('Tillegg- Inndata GoF'!G78) = 0, 0,'Tillegg- Inndata GoF'!AA78+('Tillegg- Inndata GoF'!X78+'Tillegg- Inndata GoF'!Y78)*(1-Faktorer!$Z$58)*0.5)</f>
        <v>0</v>
      </c>
      <c r="AK80" s="90">
        <f t="shared" si="2"/>
        <v>0</v>
      </c>
      <c r="AL80" s="91">
        <f>'Tillegg- Res. detaljert GoF'!N80</f>
        <v>0</v>
      </c>
      <c r="AM80" s="91" t="str">
        <f>IF(F80=0,"",('Tillegg- Inndata GoF'!E80+'Tillegg- Inndata GoF'!F80)*ROUNDDOWN('Tillegg- Inndata GoF'!I80,0)*(1+'Tillegg- Inndata GoF'!K80))</f>
        <v/>
      </c>
    </row>
    <row r="81" spans="2:39">
      <c r="B81" s="327">
        <f>'Tillegg- Inndata GoF'!B79</f>
        <v>0</v>
      </c>
      <c r="C81" s="328">
        <f>'Tillegg- Inndata GoF'!C79</f>
        <v>0</v>
      </c>
      <c r="D81" s="329">
        <f>'Tillegg- Inndata GoF'!D79</f>
        <v>0</v>
      </c>
      <c r="E81" s="661" cm="1">
        <f t="array" ref="E81">SUM(IFERROR(F81:AF81,0))</f>
        <v>0</v>
      </c>
      <c r="F81" s="330">
        <f>'Tillegg- Inndata GoF'!E79</f>
        <v>0</v>
      </c>
      <c r="G81" s="330">
        <f>IF('Tillegg- Inndata GoF'!AB79="Ja", -0.8*'Tillegg- Res. detaljert GoF'!$F81, 0)</f>
        <v>0</v>
      </c>
      <c r="H81" s="330">
        <f>IF('Tillegg- Inndata GoF'!AC79="Ja", -0.4*'Tillegg- Res. detaljert GoF'!$F81, 0)</f>
        <v>0</v>
      </c>
      <c r="I81" s="330">
        <f>IF('Tillegg- Inndata GoF'!AD79="Ja", -1*'Tillegg- Res. detaljert GoF'!$F81, 0)</f>
        <v>0</v>
      </c>
      <c r="J81" s="330">
        <f>'Tillegg- Inndata GoF'!O79*'Tillegg- Inndata GoF'!P79</f>
        <v>0</v>
      </c>
      <c r="K81" s="330">
        <f>MAX(-0.75*(SUM('Tillegg- Res. detaljert GoF'!F81:J81)),-'Tillegg- Inndata GoF'!O79*'Tillegg- Inndata GoF'!Q79)</f>
        <v>0</v>
      </c>
      <c r="L81" s="330">
        <f>'Tillegg- Inndata GoF'!S79*'Tillegg- Inndata GoF'!T79</f>
        <v>0</v>
      </c>
      <c r="M81" s="330">
        <f>MAX(-0.75*(SUM('Tillegg- Res. detaljert GoF'!F81:I81,L81)),-'Tillegg- Inndata GoF'!S79*'Tillegg- Inndata GoF'!U79)</f>
        <v>0</v>
      </c>
      <c r="N81" s="331">
        <f>'Tillegg- Inndata GoF'!F79</f>
        <v>0</v>
      </c>
      <c r="O81" s="330">
        <f>'Tillegg- Inndata GoF'!O79*'Tillegg- Inndata GoF'!R79</f>
        <v>0</v>
      </c>
      <c r="P81" s="332">
        <f>'Tillegg- Inndata GoF'!S79*'Tillegg- Inndata GoF'!V79</f>
        <v>0</v>
      </c>
      <c r="Q81" s="333">
        <f>SUM(F81:J81,L81)*'Tillegg- Inndata GoF'!K79</f>
        <v>0</v>
      </c>
      <c r="R81" s="333">
        <f>(K81+M81)*'Tillegg- Inndata GoF'!K79</f>
        <v>0</v>
      </c>
      <c r="S81" s="333">
        <f>SUM(N81:P81)*'Tillegg- Inndata GoF'!K79</f>
        <v>0</v>
      </c>
      <c r="T81" s="334">
        <f>('Tillegg- Inndata GoF'!G79+'Tillegg- Inndata GoF'!O79+'Tillegg- Inndata GoF'!S79)*'Tillegg- Inndata GoF'!K79*Transport_utslipp_til_avfallshånderting_per_kg</f>
        <v>0</v>
      </c>
      <c r="U81" s="330">
        <f>IF('Tillegg- Inndata GoF'!E79 = 0, 0, 1.833*'Tillegg- Inndata GoF'!X79*'Tillegg- Inndata GoF'!K79*('Tillegg- Inndata GoF'!G79*('Tillegg- Inndata GoF'!L79*0.5+'Tillegg- Inndata GoF'!M79*0.8) + (12/44)*('Tillegg- Inndata GoF'!O79*'Tillegg- Inndata GoF'!Q79+'Tillegg- Inndata GoF'!S79*'Tillegg- Inndata GoF'!U79)))</f>
        <v>0</v>
      </c>
      <c r="V81" s="335">
        <f>IF('Tillegg- Inndata GoF'!G79 = 0, 0,  MAX(-SUM(F81:J81,L81)*'Tillegg- Inndata GoF'!L79, -0.114*IF('Tillegg- Inndata GoF'!H79 &gt; 49, _xlfn.XLOOKUP(49, År_etter_ferdigstillelse, karbon_opptak_faktor), _xlfn.XLOOKUP('Tillegg- Inndata GoF'!H79, År_etter_ferdigstillelse, karbon_opptak_faktor))*'Tillegg- Inndata GoF'!G79*'Tillegg- Inndata GoF'!L79*0.5))</f>
        <v>0</v>
      </c>
      <c r="W81" s="333">
        <f>IF('Tillegg- Inndata GoF'!G79=0,0,IF('Tillegg- Inndata GoF'!H79&gt;49,-0.064*'Tillegg- Inndata GoF'!G79*'Tillegg- Inndata GoF'!N79,-0.037*'Tillegg- Inndata GoF'!J79*'Tillegg- Inndata GoF'!N79))</f>
        <v>0</v>
      </c>
      <c r="X81" s="331" cm="1">
        <f t="array" ref="X81">IF(SUM(F81:J81,L81)=0, 0, SUM(F81:J81,L81)*(1+'Tillegg-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Y81" s="330" cm="1">
        <f t="array" ref="Y81">IF(X81=0, 0, SUM(K81,M81)*(1+'Tillegg-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Z81" s="336" cm="1">
        <f t="array" ref="Z81">IF(X81=0, 0, SUM(N81:P81)*(1+'Tillegg-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AA81" s="336" cm="1">
        <f t="array" ref="AA81">IF(X81=0, 0, ('Tillegg- Inndata GoF'!G79+'Tillegg- Inndata GoF'!O79+'Tillegg- Inndata GoF'!S79)*(1+'Tillegg- Inndata GoF'!K79)*Transport_utslipp_til_avfallshånderting_per_kg*IF('Tillegg- Inndata GoF'!H79&gt;50, 0, _xlfn.XLOOKUP('Tillegg- Inndata GoF'!H79, År_etter_ferdigstillelse, IF(VALUE(LEFT('Tillegg- Inndata GoF'!B79, 2))= 49, f_tid_x_f_tek_d_0_037_kumulativ, f_tid_x_f_tek_d_0_01_kumulativ))))</f>
        <v>0</v>
      </c>
      <c r="AB81" s="334" cm="1">
        <f t="array" ref="AB81">IF(X81=0, 0,1.833*'Tillegg- Inndata GoF'!J79*('Tillegg- Inndata GoF'!X79*_xlfn.XLOOKUP(IF('Tillegg- Inndata GoF'!I79&lt;2,'Tillegg- Inndata GoF'!H79,'Tillegg- Inndata GoF'!H79*2), År_etter_ferdigstillelse, Faktorer!$Z$7:$Z$58))*('Tillegg- Inndata GoF'!L79*0.5+'Tillegg- Inndata GoF'!M79*0.8)*_xlfn.XLOOKUP(IF('Tillegg- Inndata GoF'!I79&lt;2,'Tillegg- Inndata GoF'!H79,'Tillegg- Inndata GoF'!H79*2), År_etter_ferdigstillelse,  IF(LEFT('Tillegg- Inndata GoF'!B79, 2)= 49, f_tid_x_f_tek_d_0_037, f_tid_x_f_tek_d_0_01)))</f>
        <v>0</v>
      </c>
      <c r="AC81" s="335">
        <f>IF(('Tillegg- Inndata GoF'!G79) = 0, 0,(('Tillegg- Inndata GoF'!G79)*((AG81+AI81)*Transport_utslipp_til_avfallshånderting_per_kg)+('Tillegg- Inndata GoF'!Z79*'ZERO-B Beregning'!D181)*IF('ZERO-B Beregning'!F182=0,'ZERO-B Beregning'!D182,'ZERO-B Beregning'!F182))*_xlfn.XLOOKUP(51, År_etter_ferdigstillelse, f_tid_x_f_tek_d_0_01))</f>
        <v>0</v>
      </c>
      <c r="AD81" s="337">
        <f>IF(('Tillegg- Inndata GoF'!G79) = 0, 0,1.833*('Tillegg- Inndata GoF'!G79*('Tillegg- Inndata GoF'!L79*0.5+'Tillegg- Inndata GoF'!M79*0.8)*AG81*_xlfn.XLOOKUP(51, År_etter_ferdigstillelse,  f_tid_x_f_tek_d_0_01)))</f>
        <v>0</v>
      </c>
      <c r="AE81" s="333" cm="1">
        <f t="array" ref="AE81">IF(('Tillegg- Inndata GoF'!G79) = 0, 0,-0.8*('Tillegg- Inndata GoF'!G79)*AH81*('Tillegg- Inndata GoF'!E79/'Tillegg- Inndata GoF'!G79)*_xlfn.XLOOKUP(51, År_etter_ferdigstillelse,  IF(LEFT('Tillegg- Inndata GoF'!B79, 2)= 49, f_tid_x_f_tek_d_0_037, f_tid_x_f_tek_d_0_01)))</f>
        <v>0</v>
      </c>
      <c r="AF81" s="338" cm="1">
        <f t="array" ref="AF81">IF(('Tillegg- Inndata GoF'!G79) = 0, 0,-0.1*('Tillegg- Inndata GoF'!G79)*AI81*('Tillegg- Inndata GoF'!E79/'Tillegg- Inndata GoF'!G79)*_xlfn.XLOOKUP(51, År_etter_ferdigstillelse,  IF(LEFT('Tillegg- Inndata GoF'!B79, 2)= 49, f_tid_x_f_tek_d_0_037, f_tid_x_f_tek_d_0_01)))</f>
        <v>0</v>
      </c>
      <c r="AG81" s="572">
        <f>IF(('Tillegg- Inndata GoF'!G79) = 0, 0,'Tillegg- Inndata GoF'!X79*Faktorer!$Z$58)</f>
        <v>0</v>
      </c>
      <c r="AH81" s="573">
        <f>IF(('Tillegg- Inndata GoF'!G79) = 0, 0,'Tillegg- Inndata GoF'!Z79+('Tillegg- Inndata GoF'!X79+'Tillegg- Inndata GoF'!Y79)*(1-Faktorer!$Z$58)*0.5)</f>
        <v>0</v>
      </c>
      <c r="AI81" s="574">
        <f>IF(('Tillegg- Inndata GoF'!G79) = 0, 0,'Tillegg- Inndata GoF'!AA79+('Tillegg- Inndata GoF'!X79+'Tillegg- Inndata GoF'!Y79)*(1-Faktorer!$Z$58)*0.5)</f>
        <v>0</v>
      </c>
      <c r="AK81" s="90">
        <f t="shared" si="2"/>
        <v>0</v>
      </c>
      <c r="AL81" s="91">
        <f>'Tillegg- Res. detaljert GoF'!N81</f>
        <v>0</v>
      </c>
      <c r="AM81" s="91" t="str">
        <f>IF(F81=0,"",('Tillegg- Inndata GoF'!E81+'Tillegg- Inndata GoF'!F81)*ROUNDDOWN('Tillegg- Inndata GoF'!I81,0)*(1+'Tillegg- Inndata GoF'!K81))</f>
        <v/>
      </c>
    </row>
    <row r="82" spans="2:39">
      <c r="B82" s="327">
        <f>'Tillegg- Inndata GoF'!B80</f>
        <v>0</v>
      </c>
      <c r="C82" s="328">
        <f>'Tillegg- Inndata GoF'!C80</f>
        <v>0</v>
      </c>
      <c r="D82" s="329">
        <f>'Tillegg- Inndata GoF'!D80</f>
        <v>0</v>
      </c>
      <c r="E82" s="661" cm="1">
        <f t="array" ref="E82">SUM(IFERROR(F82:AF82,0))</f>
        <v>0</v>
      </c>
      <c r="F82" s="330">
        <f>'Tillegg- Inndata GoF'!E80</f>
        <v>0</v>
      </c>
      <c r="G82" s="330">
        <f>IF('Tillegg- Inndata GoF'!AB80="Ja", -0.8*'Tillegg- Res. detaljert GoF'!$F82, 0)</f>
        <v>0</v>
      </c>
      <c r="H82" s="330">
        <f>IF('Tillegg- Inndata GoF'!AC80="Ja", -0.4*'Tillegg- Res. detaljert GoF'!$F82, 0)</f>
        <v>0</v>
      </c>
      <c r="I82" s="330">
        <f>IF('Tillegg- Inndata GoF'!AD80="Ja", -1*'Tillegg- Res. detaljert GoF'!$F82, 0)</f>
        <v>0</v>
      </c>
      <c r="J82" s="330">
        <f>'Tillegg- Inndata GoF'!O80*'Tillegg- Inndata GoF'!P80</f>
        <v>0</v>
      </c>
      <c r="K82" s="330">
        <f>MAX(-0.75*(SUM('Tillegg- Res. detaljert GoF'!F82:J82)),-'Tillegg- Inndata GoF'!O80*'Tillegg- Inndata GoF'!Q80)</f>
        <v>0</v>
      </c>
      <c r="L82" s="330">
        <f>'Tillegg- Inndata GoF'!S80*'Tillegg- Inndata GoF'!T80</f>
        <v>0</v>
      </c>
      <c r="M82" s="330">
        <f>MAX(-0.75*(SUM('Tillegg- Res. detaljert GoF'!F82:I82,L82)),-'Tillegg- Inndata GoF'!S80*'Tillegg- Inndata GoF'!U80)</f>
        <v>0</v>
      </c>
      <c r="N82" s="331">
        <f>'Tillegg- Inndata GoF'!F80</f>
        <v>0</v>
      </c>
      <c r="O82" s="330">
        <f>'Tillegg- Inndata GoF'!O80*'Tillegg- Inndata GoF'!R80</f>
        <v>0</v>
      </c>
      <c r="P82" s="332">
        <f>'Tillegg- Inndata GoF'!S80*'Tillegg- Inndata GoF'!V80</f>
        <v>0</v>
      </c>
      <c r="Q82" s="333">
        <f>SUM(F82:J82,L82)*'Tillegg- Inndata GoF'!K80</f>
        <v>0</v>
      </c>
      <c r="R82" s="333">
        <f>(K82+M82)*'Tillegg- Inndata GoF'!K80</f>
        <v>0</v>
      </c>
      <c r="S82" s="333">
        <f>SUM(N82:P82)*'Tillegg- Inndata GoF'!K80</f>
        <v>0</v>
      </c>
      <c r="T82" s="334">
        <f>('Tillegg- Inndata GoF'!G80+'Tillegg- Inndata GoF'!O80+'Tillegg- Inndata GoF'!S80)*'Tillegg- Inndata GoF'!K80*Transport_utslipp_til_avfallshånderting_per_kg</f>
        <v>0</v>
      </c>
      <c r="U82" s="330">
        <f>IF('Tillegg- Inndata GoF'!E80 = 0, 0, 1.833*'Tillegg- Inndata GoF'!X80*'Tillegg- Inndata GoF'!K80*('Tillegg- Inndata GoF'!G80*('Tillegg- Inndata GoF'!L80*0.5+'Tillegg- Inndata GoF'!M80*0.8) + (12/44)*('Tillegg- Inndata GoF'!O80*'Tillegg- Inndata GoF'!Q80+'Tillegg- Inndata GoF'!S80*'Tillegg- Inndata GoF'!U80)))</f>
        <v>0</v>
      </c>
      <c r="V82" s="335">
        <f>IF('Tillegg- Inndata GoF'!G80 = 0, 0,  MAX(-SUM(F82:J82,L82)*'Tillegg- Inndata GoF'!L80, -0.114*IF('Tillegg- Inndata GoF'!H80 &gt; 49, _xlfn.XLOOKUP(49, År_etter_ferdigstillelse, karbon_opptak_faktor), _xlfn.XLOOKUP('Tillegg- Inndata GoF'!H80, År_etter_ferdigstillelse, karbon_opptak_faktor))*'Tillegg- Inndata GoF'!G80*'Tillegg- Inndata GoF'!L80*0.5))</f>
        <v>0</v>
      </c>
      <c r="W82" s="333">
        <f>IF('Tillegg- Inndata GoF'!G80=0,0,IF('Tillegg- Inndata GoF'!H80&gt;49,-0.064*'Tillegg- Inndata GoF'!G80*'Tillegg- Inndata GoF'!N80,-0.037*'Tillegg- Inndata GoF'!J80*'Tillegg- Inndata GoF'!N80))</f>
        <v>0</v>
      </c>
      <c r="X82" s="331" cm="1">
        <f t="array" ref="X82">IF(SUM(F82:J82,L82)=0, 0, SUM(F82:J82,L82)*(1+'Tillegg-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Y82" s="330" cm="1">
        <f t="array" ref="Y82">IF(X82=0, 0, SUM(K82,M82)*(1+'Tillegg-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Z82" s="336" cm="1">
        <f t="array" ref="Z82">IF(X82=0, 0, SUM(N82:P82)*(1+'Tillegg-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AA82" s="336" cm="1">
        <f t="array" ref="AA82">IF(X82=0, 0, ('Tillegg- Inndata GoF'!G80+'Tillegg- Inndata GoF'!O80+'Tillegg- Inndata GoF'!S80)*(1+'Tillegg- Inndata GoF'!K80)*Transport_utslipp_til_avfallshånderting_per_kg*IF('Tillegg- Inndata GoF'!H80&gt;50, 0, _xlfn.XLOOKUP('Tillegg- Inndata GoF'!H80, År_etter_ferdigstillelse, IF(VALUE(LEFT('Tillegg- Inndata GoF'!B80, 2))= 49, f_tid_x_f_tek_d_0_037_kumulativ, f_tid_x_f_tek_d_0_01_kumulativ))))</f>
        <v>0</v>
      </c>
      <c r="AB82" s="334" cm="1">
        <f t="array" ref="AB82">IF(X82=0, 0,1.833*'Tillegg- Inndata GoF'!J80*('Tillegg- Inndata GoF'!X80*_xlfn.XLOOKUP(IF('Tillegg- Inndata GoF'!I80&lt;2,'Tillegg- Inndata GoF'!H80,'Tillegg- Inndata GoF'!H80*2), År_etter_ferdigstillelse, Faktorer!$Z$7:$Z$58))*('Tillegg- Inndata GoF'!L80*0.5+'Tillegg- Inndata GoF'!M80*0.8)*_xlfn.XLOOKUP(IF('Tillegg- Inndata GoF'!I80&lt;2,'Tillegg- Inndata GoF'!H80,'Tillegg- Inndata GoF'!H80*2), År_etter_ferdigstillelse,  IF(LEFT('Tillegg- Inndata GoF'!B80, 2)= 49, f_tid_x_f_tek_d_0_037, f_tid_x_f_tek_d_0_01)))</f>
        <v>0</v>
      </c>
      <c r="AC82" s="335">
        <f>IF(('Tillegg- Inndata GoF'!G80) = 0, 0,(('Tillegg- Inndata GoF'!G80)*((AG82+AI82)*Transport_utslipp_til_avfallshånderting_per_kg)+('Tillegg- Inndata GoF'!Z80*'ZERO-B Beregning'!D182)*IF('ZERO-B Beregning'!F183=0,'ZERO-B Beregning'!D183,'ZERO-B Beregning'!F183))*_xlfn.XLOOKUP(51, År_etter_ferdigstillelse, f_tid_x_f_tek_d_0_01))</f>
        <v>0</v>
      </c>
      <c r="AD82" s="337">
        <f>IF(('Tillegg- Inndata GoF'!G80) = 0, 0,1.833*('Tillegg- Inndata GoF'!G80*('Tillegg- Inndata GoF'!L80*0.5+'Tillegg- Inndata GoF'!M80*0.8)*AG82*_xlfn.XLOOKUP(51, År_etter_ferdigstillelse,  f_tid_x_f_tek_d_0_01)))</f>
        <v>0</v>
      </c>
      <c r="AE82" s="333" cm="1">
        <f t="array" ref="AE82">IF(('Tillegg- Inndata GoF'!G80) = 0, 0,-0.8*('Tillegg- Inndata GoF'!G80)*AH82*('Tillegg- Inndata GoF'!E80/'Tillegg- Inndata GoF'!G80)*_xlfn.XLOOKUP(51, År_etter_ferdigstillelse,  IF(LEFT('Tillegg- Inndata GoF'!B80, 2)= 49, f_tid_x_f_tek_d_0_037, f_tid_x_f_tek_d_0_01)))</f>
        <v>0</v>
      </c>
      <c r="AF82" s="338" cm="1">
        <f t="array" ref="AF82">IF(('Tillegg- Inndata GoF'!G80) = 0, 0,-0.1*('Tillegg- Inndata GoF'!G80)*AI82*('Tillegg- Inndata GoF'!E80/'Tillegg- Inndata GoF'!G80)*_xlfn.XLOOKUP(51, År_etter_ferdigstillelse,  IF(LEFT('Tillegg- Inndata GoF'!B80, 2)= 49, f_tid_x_f_tek_d_0_037, f_tid_x_f_tek_d_0_01)))</f>
        <v>0</v>
      </c>
      <c r="AG82" s="572">
        <f>IF(('Tillegg- Inndata GoF'!G80) = 0, 0,'Tillegg- Inndata GoF'!X80*Faktorer!$Z$58)</f>
        <v>0</v>
      </c>
      <c r="AH82" s="573">
        <f>IF(('Tillegg- Inndata GoF'!G80) = 0, 0,'Tillegg- Inndata GoF'!Z80+('Tillegg- Inndata GoF'!X80+'Tillegg- Inndata GoF'!Y80)*(1-Faktorer!$Z$58)*0.5)</f>
        <v>0</v>
      </c>
      <c r="AI82" s="574">
        <f>IF(('Tillegg- Inndata GoF'!G80) = 0, 0,'Tillegg- Inndata GoF'!AA80+('Tillegg- Inndata GoF'!X80+'Tillegg- Inndata GoF'!Y80)*(1-Faktorer!$Z$58)*0.5)</f>
        <v>0</v>
      </c>
      <c r="AK82" s="90">
        <f t="shared" si="2"/>
        <v>0</v>
      </c>
      <c r="AL82" s="91">
        <f>'Tillegg- Res. detaljert GoF'!N82</f>
        <v>0</v>
      </c>
      <c r="AM82" s="91" t="str">
        <f>IF(F82=0,"",('Tillegg- Inndata GoF'!E82+'Tillegg- Inndata GoF'!F82)*ROUNDDOWN('Tillegg- Inndata GoF'!I82,0)*(1+'Tillegg- Inndata GoF'!K82))</f>
        <v/>
      </c>
    </row>
    <row r="83" spans="2:39">
      <c r="B83" s="327">
        <f>'Tillegg- Inndata GoF'!B81</f>
        <v>0</v>
      </c>
      <c r="C83" s="328">
        <f>'Tillegg- Inndata GoF'!C81</f>
        <v>0</v>
      </c>
      <c r="D83" s="329">
        <f>'Tillegg- Inndata GoF'!D81</f>
        <v>0</v>
      </c>
      <c r="E83" s="661" cm="1">
        <f t="array" ref="E83">SUM(IFERROR(F83:AF83,0))</f>
        <v>0</v>
      </c>
      <c r="F83" s="330">
        <f>'Tillegg- Inndata GoF'!E81</f>
        <v>0</v>
      </c>
      <c r="G83" s="330">
        <f>IF('Tillegg- Inndata GoF'!AB81="Ja", -0.8*'Tillegg- Res. detaljert GoF'!$F83, 0)</f>
        <v>0</v>
      </c>
      <c r="H83" s="330">
        <f>IF('Tillegg- Inndata GoF'!AC81="Ja", -0.4*'Tillegg- Res. detaljert GoF'!$F83, 0)</f>
        <v>0</v>
      </c>
      <c r="I83" s="330">
        <f>IF('Tillegg- Inndata GoF'!AD81="Ja", -1*'Tillegg- Res. detaljert GoF'!$F83, 0)</f>
        <v>0</v>
      </c>
      <c r="J83" s="330">
        <f>'Tillegg- Inndata GoF'!O81*'Tillegg- Inndata GoF'!P81</f>
        <v>0</v>
      </c>
      <c r="K83" s="330">
        <f>MAX(-0.75*(SUM('Tillegg- Res. detaljert GoF'!F83:J83)),-'Tillegg- Inndata GoF'!O81*'Tillegg- Inndata GoF'!Q81)</f>
        <v>0</v>
      </c>
      <c r="L83" s="330">
        <f>'Tillegg- Inndata GoF'!S81*'Tillegg- Inndata GoF'!T81</f>
        <v>0</v>
      </c>
      <c r="M83" s="330">
        <f>MAX(-0.75*(SUM('Tillegg- Res. detaljert GoF'!F83:I83,L83)),-'Tillegg- Inndata GoF'!S81*'Tillegg- Inndata GoF'!U81)</f>
        <v>0</v>
      </c>
      <c r="N83" s="331">
        <f>'Tillegg- Inndata GoF'!F81</f>
        <v>0</v>
      </c>
      <c r="O83" s="330">
        <f>'Tillegg- Inndata GoF'!O81*'Tillegg- Inndata GoF'!R81</f>
        <v>0</v>
      </c>
      <c r="P83" s="332">
        <f>'Tillegg- Inndata GoF'!S81*'Tillegg- Inndata GoF'!V81</f>
        <v>0</v>
      </c>
      <c r="Q83" s="333">
        <f>SUM(F83:J83,L83)*'Tillegg- Inndata GoF'!K81</f>
        <v>0</v>
      </c>
      <c r="R83" s="333">
        <f>(K83+M83)*'Tillegg- Inndata GoF'!K81</f>
        <v>0</v>
      </c>
      <c r="S83" s="333">
        <f>SUM(N83:P83)*'Tillegg- Inndata GoF'!K81</f>
        <v>0</v>
      </c>
      <c r="T83" s="334">
        <f>('Tillegg- Inndata GoF'!G81+'Tillegg- Inndata GoF'!O81+'Tillegg- Inndata GoF'!S81)*'Tillegg- Inndata GoF'!K81*Transport_utslipp_til_avfallshånderting_per_kg</f>
        <v>0</v>
      </c>
      <c r="U83" s="330">
        <f>IF('Tillegg- Inndata GoF'!E81 = 0, 0, 1.833*'Tillegg- Inndata GoF'!X81*'Tillegg- Inndata GoF'!K81*('Tillegg- Inndata GoF'!G81*('Tillegg- Inndata GoF'!L81*0.5+'Tillegg- Inndata GoF'!M81*0.8) + (12/44)*('Tillegg- Inndata GoF'!O81*'Tillegg- Inndata GoF'!Q81+'Tillegg- Inndata GoF'!S81*'Tillegg- Inndata GoF'!U81)))</f>
        <v>0</v>
      </c>
      <c r="V83" s="335">
        <f>IF('Tillegg- Inndata GoF'!G81 = 0, 0,  MAX(-SUM(F83:J83,L83)*'Tillegg- Inndata GoF'!L81, -0.114*IF('Tillegg- Inndata GoF'!H81 &gt; 49, _xlfn.XLOOKUP(49, År_etter_ferdigstillelse, karbon_opptak_faktor), _xlfn.XLOOKUP('Tillegg- Inndata GoF'!H81, År_etter_ferdigstillelse, karbon_opptak_faktor))*'Tillegg- Inndata GoF'!G81*'Tillegg- Inndata GoF'!L81*0.5))</f>
        <v>0</v>
      </c>
      <c r="W83" s="333">
        <f>IF('Tillegg- Inndata GoF'!G81=0,0,IF('Tillegg- Inndata GoF'!H81&gt;49,-0.064*'Tillegg- Inndata GoF'!G81*'Tillegg- Inndata GoF'!N81,-0.037*'Tillegg- Inndata GoF'!J81*'Tillegg- Inndata GoF'!N81))</f>
        <v>0</v>
      </c>
      <c r="X83" s="331" cm="1">
        <f t="array" ref="X83">IF(SUM(F83:J83,L83)=0, 0, SUM(F83:J83,L83)*(1+'Tillegg-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Y83" s="330" cm="1">
        <f t="array" ref="Y83">IF(X83=0, 0, SUM(K83,M83)*(1+'Tillegg-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Z83" s="336" cm="1">
        <f t="array" ref="Z83">IF(X83=0, 0, SUM(N83:P83)*(1+'Tillegg-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AA83" s="336" cm="1">
        <f t="array" ref="AA83">IF(X83=0, 0, ('Tillegg- Inndata GoF'!G81+'Tillegg- Inndata GoF'!O81+'Tillegg- Inndata GoF'!S81)*(1+'Tillegg- Inndata GoF'!K81)*Transport_utslipp_til_avfallshånderting_per_kg*IF('Tillegg- Inndata GoF'!H81&gt;50, 0, _xlfn.XLOOKUP('Tillegg- Inndata GoF'!H81, År_etter_ferdigstillelse, IF(VALUE(LEFT('Tillegg- Inndata GoF'!B81, 2))= 49, f_tid_x_f_tek_d_0_037_kumulativ, f_tid_x_f_tek_d_0_01_kumulativ))))</f>
        <v>0</v>
      </c>
      <c r="AB83" s="334" cm="1">
        <f t="array" ref="AB83">IF(X83=0, 0,1.833*'Tillegg- Inndata GoF'!J81*('Tillegg- Inndata GoF'!X81*_xlfn.XLOOKUP(IF('Tillegg- Inndata GoF'!I81&lt;2,'Tillegg- Inndata GoF'!H81,'Tillegg- Inndata GoF'!H81*2), År_etter_ferdigstillelse, Faktorer!$Z$7:$Z$58))*('Tillegg- Inndata GoF'!L81*0.5+'Tillegg- Inndata GoF'!M81*0.8)*_xlfn.XLOOKUP(IF('Tillegg- Inndata GoF'!I81&lt;2,'Tillegg- Inndata GoF'!H81,'Tillegg- Inndata GoF'!H81*2), År_etter_ferdigstillelse,  IF(LEFT('Tillegg- Inndata GoF'!B81, 2)= 49, f_tid_x_f_tek_d_0_037, f_tid_x_f_tek_d_0_01)))</f>
        <v>0</v>
      </c>
      <c r="AC83" s="335">
        <f>IF(('Tillegg- Inndata GoF'!G81) = 0, 0,(('Tillegg- Inndata GoF'!G81)*((AG83+AI83)*Transport_utslipp_til_avfallshånderting_per_kg)+('Tillegg- Inndata GoF'!Z81*'ZERO-B Beregning'!D183)*IF('ZERO-B Beregning'!F184=0,'ZERO-B Beregning'!D184,'ZERO-B Beregning'!F184))*_xlfn.XLOOKUP(51, År_etter_ferdigstillelse, f_tid_x_f_tek_d_0_01))</f>
        <v>0</v>
      </c>
      <c r="AD83" s="337">
        <f>IF(('Tillegg- Inndata GoF'!G81) = 0, 0,1.833*('Tillegg- Inndata GoF'!G81*('Tillegg- Inndata GoF'!L81*0.5+'Tillegg- Inndata GoF'!M81*0.8)*AG83*_xlfn.XLOOKUP(51, År_etter_ferdigstillelse,  f_tid_x_f_tek_d_0_01)))</f>
        <v>0</v>
      </c>
      <c r="AE83" s="333" cm="1">
        <f t="array" ref="AE83">IF(('Tillegg- Inndata GoF'!G81) = 0, 0,-0.8*('Tillegg- Inndata GoF'!G81)*AH83*('Tillegg- Inndata GoF'!E81/'Tillegg- Inndata GoF'!G81)*_xlfn.XLOOKUP(51, År_etter_ferdigstillelse,  IF(LEFT('Tillegg- Inndata GoF'!B81, 2)= 49, f_tid_x_f_tek_d_0_037, f_tid_x_f_tek_d_0_01)))</f>
        <v>0</v>
      </c>
      <c r="AF83" s="338" cm="1">
        <f t="array" ref="AF83">IF(('Tillegg- Inndata GoF'!G81) = 0, 0,-0.1*('Tillegg- Inndata GoF'!G81)*AI83*('Tillegg- Inndata GoF'!E81/'Tillegg- Inndata GoF'!G81)*_xlfn.XLOOKUP(51, År_etter_ferdigstillelse,  IF(LEFT('Tillegg- Inndata GoF'!B81, 2)= 49, f_tid_x_f_tek_d_0_037, f_tid_x_f_tek_d_0_01)))</f>
        <v>0</v>
      </c>
      <c r="AG83" s="572">
        <f>IF(('Tillegg- Inndata GoF'!G81) = 0, 0,'Tillegg- Inndata GoF'!X81*Faktorer!$Z$58)</f>
        <v>0</v>
      </c>
      <c r="AH83" s="573">
        <f>IF(('Tillegg- Inndata GoF'!G81) = 0, 0,'Tillegg- Inndata GoF'!Z81+('Tillegg- Inndata GoF'!X81+'Tillegg- Inndata GoF'!Y81)*(1-Faktorer!$Z$58)*0.5)</f>
        <v>0</v>
      </c>
      <c r="AI83" s="574">
        <f>IF(('Tillegg- Inndata GoF'!G81) = 0, 0,'Tillegg- Inndata GoF'!AA81+('Tillegg- Inndata GoF'!X81+'Tillegg- Inndata GoF'!Y81)*(1-Faktorer!$Z$58)*0.5)</f>
        <v>0</v>
      </c>
      <c r="AK83" s="90">
        <f t="shared" si="2"/>
        <v>0</v>
      </c>
      <c r="AL83" s="91">
        <f>'Tillegg- Res. detaljert GoF'!N83</f>
        <v>0</v>
      </c>
      <c r="AM83" s="91" t="str">
        <f>IF(F83=0,"",('Tillegg- Inndata GoF'!E83+'Tillegg- Inndata GoF'!F83)*ROUNDDOWN('Tillegg- Inndata GoF'!I83,0)*(1+'Tillegg- Inndata GoF'!K83))</f>
        <v/>
      </c>
    </row>
    <row r="84" spans="2:39">
      <c r="B84" s="327">
        <f>'Tillegg- Inndata GoF'!B82</f>
        <v>0</v>
      </c>
      <c r="C84" s="328">
        <f>'Tillegg- Inndata GoF'!C82</f>
        <v>0</v>
      </c>
      <c r="D84" s="329">
        <f>'Tillegg- Inndata GoF'!D82</f>
        <v>0</v>
      </c>
      <c r="E84" s="661" cm="1">
        <f t="array" ref="E84">SUM(IFERROR(F84:AF84,0))</f>
        <v>0</v>
      </c>
      <c r="F84" s="330">
        <f>'Tillegg- Inndata GoF'!E82</f>
        <v>0</v>
      </c>
      <c r="G84" s="330">
        <f>IF('Tillegg- Inndata GoF'!AB82="Ja", -0.8*'Tillegg- Res. detaljert GoF'!$F84, 0)</f>
        <v>0</v>
      </c>
      <c r="H84" s="330">
        <f>IF('Tillegg- Inndata GoF'!AC82="Ja", -0.4*'Tillegg- Res. detaljert GoF'!$F84, 0)</f>
        <v>0</v>
      </c>
      <c r="I84" s="330">
        <f>IF('Tillegg- Inndata GoF'!AD82="Ja", -1*'Tillegg- Res. detaljert GoF'!$F84, 0)</f>
        <v>0</v>
      </c>
      <c r="J84" s="330">
        <f>'Tillegg- Inndata GoF'!O82*'Tillegg- Inndata GoF'!P82</f>
        <v>0</v>
      </c>
      <c r="K84" s="330">
        <f>MAX(-0.75*(SUM('Tillegg- Res. detaljert GoF'!F84:J84)),-'Tillegg- Inndata GoF'!O82*'Tillegg- Inndata GoF'!Q82)</f>
        <v>0</v>
      </c>
      <c r="L84" s="330">
        <f>'Tillegg- Inndata GoF'!S82*'Tillegg- Inndata GoF'!T82</f>
        <v>0</v>
      </c>
      <c r="M84" s="330">
        <f>MAX(-0.75*(SUM('Tillegg- Res. detaljert GoF'!F84:I84,L84)),-'Tillegg- Inndata GoF'!S82*'Tillegg- Inndata GoF'!U82)</f>
        <v>0</v>
      </c>
      <c r="N84" s="331">
        <f>'Tillegg- Inndata GoF'!F82</f>
        <v>0</v>
      </c>
      <c r="O84" s="330">
        <f>'Tillegg- Inndata GoF'!O82*'Tillegg- Inndata GoF'!R82</f>
        <v>0</v>
      </c>
      <c r="P84" s="332">
        <f>'Tillegg- Inndata GoF'!S82*'Tillegg- Inndata GoF'!V82</f>
        <v>0</v>
      </c>
      <c r="Q84" s="333">
        <f>SUM(F84:J84,L84)*'Tillegg- Inndata GoF'!K82</f>
        <v>0</v>
      </c>
      <c r="R84" s="333">
        <f>(K84+M84)*'Tillegg- Inndata GoF'!K82</f>
        <v>0</v>
      </c>
      <c r="S84" s="333">
        <f>SUM(N84:P84)*'Tillegg- Inndata GoF'!K82</f>
        <v>0</v>
      </c>
      <c r="T84" s="334">
        <f>('Tillegg- Inndata GoF'!G82+'Tillegg- Inndata GoF'!O82+'Tillegg- Inndata GoF'!S82)*'Tillegg- Inndata GoF'!K82*Transport_utslipp_til_avfallshånderting_per_kg</f>
        <v>0</v>
      </c>
      <c r="U84" s="330">
        <f>IF('Tillegg- Inndata GoF'!E82 = 0, 0, 1.833*'Tillegg- Inndata GoF'!X82*'Tillegg- Inndata GoF'!K82*('Tillegg- Inndata GoF'!G82*('Tillegg- Inndata GoF'!L82*0.5+'Tillegg- Inndata GoF'!M82*0.8) + (12/44)*('Tillegg- Inndata GoF'!O82*'Tillegg- Inndata GoF'!Q82+'Tillegg- Inndata GoF'!S82*'Tillegg- Inndata GoF'!U82)))</f>
        <v>0</v>
      </c>
      <c r="V84" s="335">
        <f>IF('Tillegg- Inndata GoF'!G82 = 0, 0,  MAX(-SUM(F84:J84,L84)*'Tillegg- Inndata GoF'!L82, -0.114*IF('Tillegg- Inndata GoF'!H82 &gt; 49, _xlfn.XLOOKUP(49, År_etter_ferdigstillelse, karbon_opptak_faktor), _xlfn.XLOOKUP('Tillegg- Inndata GoF'!H82, År_etter_ferdigstillelse, karbon_opptak_faktor))*'Tillegg- Inndata GoF'!G82*'Tillegg- Inndata GoF'!L82*0.5))</f>
        <v>0</v>
      </c>
      <c r="W84" s="333">
        <f>IF('Tillegg- Inndata GoF'!G82=0,0,IF('Tillegg- Inndata GoF'!H82&gt;49,-0.064*'Tillegg- Inndata GoF'!G82*'Tillegg- Inndata GoF'!N82,-0.037*'Tillegg- Inndata GoF'!J82*'Tillegg- Inndata GoF'!N82))</f>
        <v>0</v>
      </c>
      <c r="X84" s="331" cm="1">
        <f t="array" ref="X84">IF(SUM(F84:J84,L84)=0, 0, SUM(F84:J84,L84)*(1+'Tillegg-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Y84" s="330" cm="1">
        <f t="array" ref="Y84">IF(X84=0, 0, SUM(K84,M84)*(1+'Tillegg-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Z84" s="336" cm="1">
        <f t="array" ref="Z84">IF(X84=0, 0, SUM(N84:P84)*(1+'Tillegg-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AA84" s="336" cm="1">
        <f t="array" ref="AA84">IF(X84=0, 0, ('Tillegg- Inndata GoF'!G82+'Tillegg- Inndata GoF'!O82+'Tillegg- Inndata GoF'!S82)*(1+'Tillegg- Inndata GoF'!K82)*Transport_utslipp_til_avfallshånderting_per_kg*IF('Tillegg- Inndata GoF'!H82&gt;50, 0, _xlfn.XLOOKUP('Tillegg- Inndata GoF'!H82, År_etter_ferdigstillelse, IF(VALUE(LEFT('Tillegg- Inndata GoF'!B82, 2))= 49, f_tid_x_f_tek_d_0_037_kumulativ, f_tid_x_f_tek_d_0_01_kumulativ))))</f>
        <v>0</v>
      </c>
      <c r="AB84" s="334" cm="1">
        <f t="array" ref="AB84">IF(X84=0, 0,1.833*'Tillegg- Inndata GoF'!J82*('Tillegg- Inndata GoF'!X82*_xlfn.XLOOKUP(IF('Tillegg- Inndata GoF'!I82&lt;2,'Tillegg- Inndata GoF'!H82,'Tillegg- Inndata GoF'!H82*2), År_etter_ferdigstillelse, Faktorer!$Z$7:$Z$58))*('Tillegg- Inndata GoF'!L82*0.5+'Tillegg- Inndata GoF'!M82*0.8)*_xlfn.XLOOKUP(IF('Tillegg- Inndata GoF'!I82&lt;2,'Tillegg- Inndata GoF'!H82,'Tillegg- Inndata GoF'!H82*2), År_etter_ferdigstillelse,  IF(LEFT('Tillegg- Inndata GoF'!B82, 2)= 49, f_tid_x_f_tek_d_0_037, f_tid_x_f_tek_d_0_01)))</f>
        <v>0</v>
      </c>
      <c r="AC84" s="335">
        <f>IF(('Tillegg- Inndata GoF'!G82) = 0, 0,(('Tillegg- Inndata GoF'!G82)*((AG84+AI84)*Transport_utslipp_til_avfallshånderting_per_kg)+('Tillegg- Inndata GoF'!Z82*'ZERO-B Beregning'!D184)*IF('ZERO-B Beregning'!F185=0,'ZERO-B Beregning'!D185,'ZERO-B Beregning'!F185))*_xlfn.XLOOKUP(51, År_etter_ferdigstillelse, f_tid_x_f_tek_d_0_01))</f>
        <v>0</v>
      </c>
      <c r="AD84" s="337">
        <f>IF(('Tillegg- Inndata GoF'!G82) = 0, 0,1.833*('Tillegg- Inndata GoF'!G82*('Tillegg- Inndata GoF'!L82*0.5+'Tillegg- Inndata GoF'!M82*0.8)*AG84*_xlfn.XLOOKUP(51, År_etter_ferdigstillelse,  f_tid_x_f_tek_d_0_01)))</f>
        <v>0</v>
      </c>
      <c r="AE84" s="333" cm="1">
        <f t="array" ref="AE84">IF(('Tillegg- Inndata GoF'!G82) = 0, 0,-0.8*('Tillegg- Inndata GoF'!G82)*AH84*('Tillegg- Inndata GoF'!E82/'Tillegg- Inndata GoF'!G82)*_xlfn.XLOOKUP(51, År_etter_ferdigstillelse,  IF(LEFT('Tillegg- Inndata GoF'!B82, 2)= 49, f_tid_x_f_tek_d_0_037, f_tid_x_f_tek_d_0_01)))</f>
        <v>0</v>
      </c>
      <c r="AF84" s="338" cm="1">
        <f t="array" ref="AF84">IF(('Tillegg- Inndata GoF'!G82) = 0, 0,-0.1*('Tillegg- Inndata GoF'!G82)*AI84*('Tillegg- Inndata GoF'!E82/'Tillegg- Inndata GoF'!G82)*_xlfn.XLOOKUP(51, År_etter_ferdigstillelse,  IF(LEFT('Tillegg- Inndata GoF'!B82, 2)= 49, f_tid_x_f_tek_d_0_037, f_tid_x_f_tek_d_0_01)))</f>
        <v>0</v>
      </c>
      <c r="AG84" s="572">
        <f>IF(('Tillegg- Inndata GoF'!G82) = 0, 0,'Tillegg- Inndata GoF'!X82*Faktorer!$Z$58)</f>
        <v>0</v>
      </c>
      <c r="AH84" s="573">
        <f>IF(('Tillegg- Inndata GoF'!G82) = 0, 0,'Tillegg- Inndata GoF'!Z82+('Tillegg- Inndata GoF'!X82+'Tillegg- Inndata GoF'!Y82)*(1-Faktorer!$Z$58)*0.5)</f>
        <v>0</v>
      </c>
      <c r="AI84" s="574">
        <f>IF(('Tillegg- Inndata GoF'!G82) = 0, 0,'Tillegg- Inndata GoF'!AA82+('Tillegg- Inndata GoF'!X82+'Tillegg- Inndata GoF'!Y82)*(1-Faktorer!$Z$58)*0.5)</f>
        <v>0</v>
      </c>
      <c r="AK84" s="90">
        <f t="shared" si="2"/>
        <v>0</v>
      </c>
      <c r="AL84" s="91">
        <f>'Tillegg- Res. detaljert GoF'!N84</f>
        <v>0</v>
      </c>
      <c r="AM84" s="91" t="str">
        <f>IF(F84=0,"",('Tillegg- Inndata GoF'!E84+'Tillegg- Inndata GoF'!F84)*ROUNDDOWN('Tillegg- Inndata GoF'!I84,0)*(1+'Tillegg- Inndata GoF'!K84))</f>
        <v/>
      </c>
    </row>
    <row r="85" spans="2:39">
      <c r="B85" s="327">
        <f>'Tillegg- Inndata GoF'!B83</f>
        <v>0</v>
      </c>
      <c r="C85" s="328">
        <f>'Tillegg- Inndata GoF'!C83</f>
        <v>0</v>
      </c>
      <c r="D85" s="329">
        <f>'Tillegg- Inndata GoF'!D83</f>
        <v>0</v>
      </c>
      <c r="E85" s="661" cm="1">
        <f t="array" ref="E85">SUM(IFERROR(F85:AF85,0))</f>
        <v>0</v>
      </c>
      <c r="F85" s="330">
        <f>'Tillegg- Inndata GoF'!E83</f>
        <v>0</v>
      </c>
      <c r="G85" s="330">
        <f>IF('Tillegg- Inndata GoF'!AB83="Ja", -0.8*'Tillegg- Res. detaljert GoF'!$F85, 0)</f>
        <v>0</v>
      </c>
      <c r="H85" s="330">
        <f>IF('Tillegg- Inndata GoF'!AC83="Ja", -0.4*'Tillegg- Res. detaljert GoF'!$F85, 0)</f>
        <v>0</v>
      </c>
      <c r="I85" s="330">
        <f>IF('Tillegg- Inndata GoF'!AD83="Ja", -1*'Tillegg- Res. detaljert GoF'!$F85, 0)</f>
        <v>0</v>
      </c>
      <c r="J85" s="330">
        <f>'Tillegg- Inndata GoF'!O83*'Tillegg- Inndata GoF'!P83</f>
        <v>0</v>
      </c>
      <c r="K85" s="330">
        <f>MAX(-0.75*(SUM('Tillegg- Res. detaljert GoF'!F85:J85)),-'Tillegg- Inndata GoF'!O83*'Tillegg- Inndata GoF'!Q83)</f>
        <v>0</v>
      </c>
      <c r="L85" s="330">
        <f>'Tillegg- Inndata GoF'!S83*'Tillegg- Inndata GoF'!T83</f>
        <v>0</v>
      </c>
      <c r="M85" s="330">
        <f>MAX(-0.75*(SUM('Tillegg- Res. detaljert GoF'!F85:I85,L85)),-'Tillegg- Inndata GoF'!S83*'Tillegg- Inndata GoF'!U83)</f>
        <v>0</v>
      </c>
      <c r="N85" s="331">
        <f>'Tillegg- Inndata GoF'!F83</f>
        <v>0</v>
      </c>
      <c r="O85" s="330">
        <f>'Tillegg- Inndata GoF'!O83*'Tillegg- Inndata GoF'!R83</f>
        <v>0</v>
      </c>
      <c r="P85" s="332">
        <f>'Tillegg- Inndata GoF'!S83*'Tillegg- Inndata GoF'!V83</f>
        <v>0</v>
      </c>
      <c r="Q85" s="333">
        <f>SUM(F85:J85,L85)*'Tillegg- Inndata GoF'!K83</f>
        <v>0</v>
      </c>
      <c r="R85" s="333">
        <f>(K85+M85)*'Tillegg- Inndata GoF'!K83</f>
        <v>0</v>
      </c>
      <c r="S85" s="333">
        <f>SUM(N85:P85)*'Tillegg- Inndata GoF'!K83</f>
        <v>0</v>
      </c>
      <c r="T85" s="334">
        <f>('Tillegg- Inndata GoF'!G83+'Tillegg- Inndata GoF'!O83+'Tillegg- Inndata GoF'!S83)*'Tillegg- Inndata GoF'!K83*Transport_utslipp_til_avfallshånderting_per_kg</f>
        <v>0</v>
      </c>
      <c r="U85" s="330">
        <f>IF('Tillegg- Inndata GoF'!E83 = 0, 0, 1.833*'Tillegg- Inndata GoF'!X83*'Tillegg- Inndata GoF'!K83*('Tillegg- Inndata GoF'!G83*('Tillegg- Inndata GoF'!L83*0.5+'Tillegg- Inndata GoF'!M83*0.8) + (12/44)*('Tillegg- Inndata GoF'!O83*'Tillegg- Inndata GoF'!Q83+'Tillegg- Inndata GoF'!S83*'Tillegg- Inndata GoF'!U83)))</f>
        <v>0</v>
      </c>
      <c r="V85" s="335">
        <f>IF('Tillegg- Inndata GoF'!G83 = 0, 0,  MAX(-SUM(F85:J85,L85)*'Tillegg- Inndata GoF'!L83, -0.114*IF('Tillegg- Inndata GoF'!H83 &gt; 49, _xlfn.XLOOKUP(49, År_etter_ferdigstillelse, karbon_opptak_faktor), _xlfn.XLOOKUP('Tillegg- Inndata GoF'!H83, År_etter_ferdigstillelse, karbon_opptak_faktor))*'Tillegg- Inndata GoF'!G83*'Tillegg- Inndata GoF'!L83*0.5))</f>
        <v>0</v>
      </c>
      <c r="W85" s="333">
        <f>IF('Tillegg- Inndata GoF'!G83=0,0,IF('Tillegg- Inndata GoF'!H83&gt;49,-0.064*'Tillegg- Inndata GoF'!G83*'Tillegg- Inndata GoF'!N83,-0.037*'Tillegg- Inndata GoF'!J83*'Tillegg- Inndata GoF'!N83))</f>
        <v>0</v>
      </c>
      <c r="X85" s="331" cm="1">
        <f t="array" ref="X85">IF(SUM(F85:J85,L85)=0, 0, SUM(F85:J85,L85)*(1+'Tillegg-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Y85" s="330" cm="1">
        <f t="array" ref="Y85">IF(X85=0, 0, SUM(K85,M85)*(1+'Tillegg-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Z85" s="336" cm="1">
        <f t="array" ref="Z85">IF(X85=0, 0, SUM(N85:P85)*(1+'Tillegg-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AA85" s="336" cm="1">
        <f t="array" ref="AA85">IF(X85=0, 0, ('Tillegg- Inndata GoF'!G83+'Tillegg- Inndata GoF'!O83+'Tillegg- Inndata GoF'!S83)*(1+'Tillegg- Inndata GoF'!K83)*Transport_utslipp_til_avfallshånderting_per_kg*IF('Tillegg- Inndata GoF'!H83&gt;50, 0, _xlfn.XLOOKUP('Tillegg- Inndata GoF'!H83, År_etter_ferdigstillelse, IF(VALUE(LEFT('Tillegg- Inndata GoF'!B83, 2))= 49, f_tid_x_f_tek_d_0_037_kumulativ, f_tid_x_f_tek_d_0_01_kumulativ))))</f>
        <v>0</v>
      </c>
      <c r="AB85" s="334" cm="1">
        <f t="array" ref="AB85">IF(X85=0, 0,1.833*'Tillegg- Inndata GoF'!J83*('Tillegg- Inndata GoF'!X83*_xlfn.XLOOKUP(IF('Tillegg- Inndata GoF'!I83&lt;2,'Tillegg- Inndata GoF'!H83,'Tillegg- Inndata GoF'!H83*2), År_etter_ferdigstillelse, Faktorer!$Z$7:$Z$58))*('Tillegg- Inndata GoF'!L83*0.5+'Tillegg- Inndata GoF'!M83*0.8)*_xlfn.XLOOKUP(IF('Tillegg- Inndata GoF'!I83&lt;2,'Tillegg- Inndata GoF'!H83,'Tillegg- Inndata GoF'!H83*2), År_etter_ferdigstillelse,  IF(LEFT('Tillegg- Inndata GoF'!B83, 2)= 49, f_tid_x_f_tek_d_0_037, f_tid_x_f_tek_d_0_01)))</f>
        <v>0</v>
      </c>
      <c r="AC85" s="335">
        <f>IF(('Tillegg- Inndata GoF'!G83) = 0, 0,(('Tillegg- Inndata GoF'!G83)*((AG85+AI85)*Transport_utslipp_til_avfallshånderting_per_kg)+('Tillegg- Inndata GoF'!Z83*'ZERO-B Beregning'!D185)*IF('ZERO-B Beregning'!F186=0,'ZERO-B Beregning'!D186,'ZERO-B Beregning'!F186))*_xlfn.XLOOKUP(51, År_etter_ferdigstillelse, f_tid_x_f_tek_d_0_01))</f>
        <v>0</v>
      </c>
      <c r="AD85" s="337">
        <f>IF(('Tillegg- Inndata GoF'!G83) = 0, 0,1.833*('Tillegg- Inndata GoF'!G83*('Tillegg- Inndata GoF'!L83*0.5+'Tillegg- Inndata GoF'!M83*0.8)*AG85*_xlfn.XLOOKUP(51, År_etter_ferdigstillelse,  f_tid_x_f_tek_d_0_01)))</f>
        <v>0</v>
      </c>
      <c r="AE85" s="333" cm="1">
        <f t="array" ref="AE85">IF(('Tillegg- Inndata GoF'!G83) = 0, 0,-0.8*('Tillegg- Inndata GoF'!G83)*AH85*('Tillegg- Inndata GoF'!E83/'Tillegg- Inndata GoF'!G83)*_xlfn.XLOOKUP(51, År_etter_ferdigstillelse,  IF(LEFT('Tillegg- Inndata GoF'!B83, 2)= 49, f_tid_x_f_tek_d_0_037, f_tid_x_f_tek_d_0_01)))</f>
        <v>0</v>
      </c>
      <c r="AF85" s="338" cm="1">
        <f t="array" ref="AF85">IF(('Tillegg- Inndata GoF'!G83) = 0, 0,-0.1*('Tillegg- Inndata GoF'!G83)*AI85*('Tillegg- Inndata GoF'!E83/'Tillegg- Inndata GoF'!G83)*_xlfn.XLOOKUP(51, År_etter_ferdigstillelse,  IF(LEFT('Tillegg- Inndata GoF'!B83, 2)= 49, f_tid_x_f_tek_d_0_037, f_tid_x_f_tek_d_0_01)))</f>
        <v>0</v>
      </c>
      <c r="AG85" s="572">
        <f>IF(('Tillegg- Inndata GoF'!G83) = 0, 0,'Tillegg- Inndata GoF'!X83*Faktorer!$Z$58)</f>
        <v>0</v>
      </c>
      <c r="AH85" s="573">
        <f>IF(('Tillegg- Inndata GoF'!G83) = 0, 0,'Tillegg- Inndata GoF'!Z83+('Tillegg- Inndata GoF'!X83+'Tillegg- Inndata GoF'!Y83)*(1-Faktorer!$Z$58)*0.5)</f>
        <v>0</v>
      </c>
      <c r="AI85" s="574">
        <f>IF(('Tillegg- Inndata GoF'!G83) = 0, 0,'Tillegg- Inndata GoF'!AA83+('Tillegg- Inndata GoF'!X83+'Tillegg- Inndata GoF'!Y83)*(1-Faktorer!$Z$58)*0.5)</f>
        <v>0</v>
      </c>
      <c r="AK85" s="90">
        <f t="shared" si="2"/>
        <v>0</v>
      </c>
      <c r="AL85" s="91">
        <f>'Tillegg- Res. detaljert GoF'!N85</f>
        <v>0</v>
      </c>
      <c r="AM85" s="91" t="str">
        <f>IF(F85=0,"",('Tillegg- Inndata GoF'!E85+'Tillegg- Inndata GoF'!F85)*ROUNDDOWN('Tillegg- Inndata GoF'!I85,0)*(1+'Tillegg- Inndata GoF'!K85))</f>
        <v/>
      </c>
    </row>
    <row r="86" spans="2:39">
      <c r="B86" s="327">
        <f>'Tillegg- Inndata GoF'!B84</f>
        <v>0</v>
      </c>
      <c r="C86" s="328">
        <f>'Tillegg- Inndata GoF'!C84</f>
        <v>0</v>
      </c>
      <c r="D86" s="329">
        <f>'Tillegg- Inndata GoF'!D84</f>
        <v>0</v>
      </c>
      <c r="E86" s="661" cm="1">
        <f t="array" ref="E86">SUM(IFERROR(F86:AF86,0))</f>
        <v>0</v>
      </c>
      <c r="F86" s="330">
        <f>'Tillegg- Inndata GoF'!E84</f>
        <v>0</v>
      </c>
      <c r="G86" s="330">
        <f>IF('Tillegg- Inndata GoF'!AB84="Ja", -0.8*'Tillegg- Res. detaljert GoF'!$F86, 0)</f>
        <v>0</v>
      </c>
      <c r="H86" s="330">
        <f>IF('Tillegg- Inndata GoF'!AC84="Ja", -0.4*'Tillegg- Res. detaljert GoF'!$F86, 0)</f>
        <v>0</v>
      </c>
      <c r="I86" s="330">
        <f>IF('Tillegg- Inndata GoF'!AD84="Ja", -1*'Tillegg- Res. detaljert GoF'!$F86, 0)</f>
        <v>0</v>
      </c>
      <c r="J86" s="330">
        <f>'Tillegg- Inndata GoF'!O84*'Tillegg- Inndata GoF'!P84</f>
        <v>0</v>
      </c>
      <c r="K86" s="330">
        <f>MAX(-0.75*(SUM('Tillegg- Res. detaljert GoF'!F86:J86)),-'Tillegg- Inndata GoF'!O84*'Tillegg- Inndata GoF'!Q84)</f>
        <v>0</v>
      </c>
      <c r="L86" s="330">
        <f>'Tillegg- Inndata GoF'!S84*'Tillegg- Inndata GoF'!T84</f>
        <v>0</v>
      </c>
      <c r="M86" s="330">
        <f>MAX(-0.75*(SUM('Tillegg- Res. detaljert GoF'!F86:I86,L86)),-'Tillegg- Inndata GoF'!S84*'Tillegg- Inndata GoF'!U84)</f>
        <v>0</v>
      </c>
      <c r="N86" s="331">
        <f>'Tillegg- Inndata GoF'!F84</f>
        <v>0</v>
      </c>
      <c r="O86" s="330">
        <f>'Tillegg- Inndata GoF'!O84*'Tillegg- Inndata GoF'!R84</f>
        <v>0</v>
      </c>
      <c r="P86" s="332">
        <f>'Tillegg- Inndata GoF'!S84*'Tillegg- Inndata GoF'!V84</f>
        <v>0</v>
      </c>
      <c r="Q86" s="333">
        <f>SUM(F86:J86,L86)*'Tillegg- Inndata GoF'!K84</f>
        <v>0</v>
      </c>
      <c r="R86" s="333">
        <f>(K86+M86)*'Tillegg- Inndata GoF'!K84</f>
        <v>0</v>
      </c>
      <c r="S86" s="333">
        <f>SUM(N86:P86)*'Tillegg- Inndata GoF'!K84</f>
        <v>0</v>
      </c>
      <c r="T86" s="334">
        <f>('Tillegg- Inndata GoF'!G84+'Tillegg- Inndata GoF'!O84+'Tillegg- Inndata GoF'!S84)*'Tillegg- Inndata GoF'!K84*Transport_utslipp_til_avfallshånderting_per_kg</f>
        <v>0</v>
      </c>
      <c r="U86" s="330">
        <f>IF('Tillegg- Inndata GoF'!E84 = 0, 0, 1.833*'Tillegg- Inndata GoF'!X84*'Tillegg- Inndata GoF'!K84*('Tillegg- Inndata GoF'!G84*('Tillegg- Inndata GoF'!L84*0.5+'Tillegg- Inndata GoF'!M84*0.8) + (12/44)*('Tillegg- Inndata GoF'!O84*'Tillegg- Inndata GoF'!Q84+'Tillegg- Inndata GoF'!S84*'Tillegg- Inndata GoF'!U84)))</f>
        <v>0</v>
      </c>
      <c r="V86" s="335">
        <f>IF('Tillegg- Inndata GoF'!G84 = 0, 0,  MAX(-SUM(F86:J86,L86)*'Tillegg- Inndata GoF'!L84, -0.114*IF('Tillegg- Inndata GoF'!H84 &gt; 49, _xlfn.XLOOKUP(49, År_etter_ferdigstillelse, karbon_opptak_faktor), _xlfn.XLOOKUP('Tillegg- Inndata GoF'!H84, År_etter_ferdigstillelse, karbon_opptak_faktor))*'Tillegg- Inndata GoF'!G84*'Tillegg- Inndata GoF'!L84*0.5))</f>
        <v>0</v>
      </c>
      <c r="W86" s="333">
        <f>IF('Tillegg- Inndata GoF'!G84=0,0,IF('Tillegg- Inndata GoF'!H84&gt;49,-0.064*'Tillegg- Inndata GoF'!G84*'Tillegg- Inndata GoF'!N84,-0.037*'Tillegg- Inndata GoF'!J84*'Tillegg- Inndata GoF'!N84))</f>
        <v>0</v>
      </c>
      <c r="X86" s="331" cm="1">
        <f t="array" ref="X86">IF(SUM(F86:J86,L86)=0, 0, SUM(F86:J86,L86)*(1+'Tillegg-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Y86" s="330" cm="1">
        <f t="array" ref="Y86">IF(X86=0, 0, SUM(K86,M86)*(1+'Tillegg-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Z86" s="336" cm="1">
        <f t="array" ref="Z86">IF(X86=0, 0, SUM(N86:P86)*(1+'Tillegg-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AA86" s="336" cm="1">
        <f t="array" ref="AA86">IF(X86=0, 0, ('Tillegg- Inndata GoF'!G84+'Tillegg- Inndata GoF'!O84+'Tillegg- Inndata GoF'!S84)*(1+'Tillegg- Inndata GoF'!K84)*Transport_utslipp_til_avfallshånderting_per_kg*IF('Tillegg- Inndata GoF'!H84&gt;50, 0, _xlfn.XLOOKUP('Tillegg- Inndata GoF'!H84, År_etter_ferdigstillelse, IF(VALUE(LEFT('Tillegg- Inndata GoF'!B84, 2))= 49, f_tid_x_f_tek_d_0_037_kumulativ, f_tid_x_f_tek_d_0_01_kumulativ))))</f>
        <v>0</v>
      </c>
      <c r="AB86" s="334" cm="1">
        <f t="array" ref="AB86">IF(X86=0, 0,1.833*'Tillegg- Inndata GoF'!J84*('Tillegg- Inndata GoF'!X84*_xlfn.XLOOKUP(IF('Tillegg- Inndata GoF'!I84&lt;2,'Tillegg- Inndata GoF'!H84,'Tillegg- Inndata GoF'!H84*2), År_etter_ferdigstillelse, Faktorer!$Z$7:$Z$58))*('Tillegg- Inndata GoF'!L84*0.5+'Tillegg- Inndata GoF'!M84*0.8)*_xlfn.XLOOKUP(IF('Tillegg- Inndata GoF'!I84&lt;2,'Tillegg- Inndata GoF'!H84,'Tillegg- Inndata GoF'!H84*2), År_etter_ferdigstillelse,  IF(LEFT('Tillegg- Inndata GoF'!B84, 2)= 49, f_tid_x_f_tek_d_0_037, f_tid_x_f_tek_d_0_01)))</f>
        <v>0</v>
      </c>
      <c r="AC86" s="335">
        <f>IF(('Tillegg- Inndata GoF'!G84) = 0, 0,(('Tillegg- Inndata GoF'!G84)*((AG86+AI86)*Transport_utslipp_til_avfallshånderting_per_kg)+('Tillegg- Inndata GoF'!Z84*'ZERO-B Beregning'!D186)*IF('ZERO-B Beregning'!F187=0,'ZERO-B Beregning'!D187,'ZERO-B Beregning'!F187))*_xlfn.XLOOKUP(51, År_etter_ferdigstillelse, f_tid_x_f_tek_d_0_01))</f>
        <v>0</v>
      </c>
      <c r="AD86" s="337">
        <f>IF(('Tillegg- Inndata GoF'!G84) = 0, 0,1.833*('Tillegg- Inndata GoF'!G84*('Tillegg- Inndata GoF'!L84*0.5+'Tillegg- Inndata GoF'!M84*0.8)*AG86*_xlfn.XLOOKUP(51, År_etter_ferdigstillelse,  f_tid_x_f_tek_d_0_01)))</f>
        <v>0</v>
      </c>
      <c r="AE86" s="333" cm="1">
        <f t="array" ref="AE86">IF(('Tillegg- Inndata GoF'!G84) = 0, 0,-0.8*('Tillegg- Inndata GoF'!G84)*AH86*('Tillegg- Inndata GoF'!E84/'Tillegg- Inndata GoF'!G84)*_xlfn.XLOOKUP(51, År_etter_ferdigstillelse,  IF(LEFT('Tillegg- Inndata GoF'!B84, 2)= 49, f_tid_x_f_tek_d_0_037, f_tid_x_f_tek_d_0_01)))</f>
        <v>0</v>
      </c>
      <c r="AF86" s="338" cm="1">
        <f t="array" ref="AF86">IF(('Tillegg- Inndata GoF'!G84) = 0, 0,-0.1*('Tillegg- Inndata GoF'!G84)*AI86*('Tillegg- Inndata GoF'!E84/'Tillegg- Inndata GoF'!G84)*_xlfn.XLOOKUP(51, År_etter_ferdigstillelse,  IF(LEFT('Tillegg- Inndata GoF'!B84, 2)= 49, f_tid_x_f_tek_d_0_037, f_tid_x_f_tek_d_0_01)))</f>
        <v>0</v>
      </c>
      <c r="AG86" s="572">
        <f>IF(('Tillegg- Inndata GoF'!G84) = 0, 0,'Tillegg- Inndata GoF'!X84*Faktorer!$Z$58)</f>
        <v>0</v>
      </c>
      <c r="AH86" s="573">
        <f>IF(('Tillegg- Inndata GoF'!G84) = 0, 0,'Tillegg- Inndata GoF'!Z84+('Tillegg- Inndata GoF'!X84+'Tillegg- Inndata GoF'!Y84)*(1-Faktorer!$Z$58)*0.5)</f>
        <v>0</v>
      </c>
      <c r="AI86" s="574">
        <f>IF(('Tillegg- Inndata GoF'!G84) = 0, 0,'Tillegg- Inndata GoF'!AA84+('Tillegg- Inndata GoF'!X84+'Tillegg- Inndata GoF'!Y84)*(1-Faktorer!$Z$58)*0.5)</f>
        <v>0</v>
      </c>
      <c r="AK86" s="90">
        <f t="shared" si="2"/>
        <v>0</v>
      </c>
      <c r="AL86" s="91">
        <f>'Tillegg- Res. detaljert GoF'!N86</f>
        <v>0</v>
      </c>
      <c r="AM86" s="91" t="str">
        <f>IF(F86=0,"",('Tillegg- Inndata GoF'!E86+'Tillegg- Inndata GoF'!F86)*ROUNDDOWN('Tillegg- Inndata GoF'!I86,0)*(1+'Tillegg- Inndata GoF'!K86))</f>
        <v/>
      </c>
    </row>
    <row r="87" spans="2:39">
      <c r="B87" s="327">
        <f>'Tillegg- Inndata GoF'!B85</f>
        <v>0</v>
      </c>
      <c r="C87" s="328">
        <f>'Tillegg- Inndata GoF'!C85</f>
        <v>0</v>
      </c>
      <c r="D87" s="329">
        <f>'Tillegg- Inndata GoF'!D85</f>
        <v>0</v>
      </c>
      <c r="E87" s="661" cm="1">
        <f t="array" ref="E87">SUM(IFERROR(F87:AF87,0))</f>
        <v>0</v>
      </c>
      <c r="F87" s="330">
        <f>'Tillegg- Inndata GoF'!E85</f>
        <v>0</v>
      </c>
      <c r="G87" s="330">
        <f>IF('Tillegg- Inndata GoF'!AB85="Ja", -0.8*'Tillegg- Res. detaljert GoF'!$F87, 0)</f>
        <v>0</v>
      </c>
      <c r="H87" s="330">
        <f>IF('Tillegg- Inndata GoF'!AC85="Ja", -0.4*'Tillegg- Res. detaljert GoF'!$F87, 0)</f>
        <v>0</v>
      </c>
      <c r="I87" s="330">
        <f>IF('Tillegg- Inndata GoF'!AD85="Ja", -1*'Tillegg- Res. detaljert GoF'!$F87, 0)</f>
        <v>0</v>
      </c>
      <c r="J87" s="330">
        <f>'Tillegg- Inndata GoF'!O85*'Tillegg- Inndata GoF'!P85</f>
        <v>0</v>
      </c>
      <c r="K87" s="330">
        <f>MAX(-0.75*(SUM('Tillegg- Res. detaljert GoF'!F87:J87)),-'Tillegg- Inndata GoF'!O85*'Tillegg- Inndata GoF'!Q85)</f>
        <v>0</v>
      </c>
      <c r="L87" s="330">
        <f>'Tillegg- Inndata GoF'!S85*'Tillegg- Inndata GoF'!T85</f>
        <v>0</v>
      </c>
      <c r="M87" s="330">
        <f>MAX(-0.75*(SUM('Tillegg- Res. detaljert GoF'!F87:I87,L87)),-'Tillegg- Inndata GoF'!S85*'Tillegg- Inndata GoF'!U85)</f>
        <v>0</v>
      </c>
      <c r="N87" s="331">
        <f>'Tillegg- Inndata GoF'!F85</f>
        <v>0</v>
      </c>
      <c r="O87" s="330">
        <f>'Tillegg- Inndata GoF'!O85*'Tillegg- Inndata GoF'!R85</f>
        <v>0</v>
      </c>
      <c r="P87" s="332">
        <f>'Tillegg- Inndata GoF'!S85*'Tillegg- Inndata GoF'!V85</f>
        <v>0</v>
      </c>
      <c r="Q87" s="333">
        <f>SUM(F87:J87,L87)*'Tillegg- Inndata GoF'!K85</f>
        <v>0</v>
      </c>
      <c r="R87" s="333">
        <f>(K87+M87)*'Tillegg- Inndata GoF'!K85</f>
        <v>0</v>
      </c>
      <c r="S87" s="333">
        <f>SUM(N87:P87)*'Tillegg- Inndata GoF'!K85</f>
        <v>0</v>
      </c>
      <c r="T87" s="334">
        <f>('Tillegg- Inndata GoF'!G85+'Tillegg- Inndata GoF'!O85+'Tillegg- Inndata GoF'!S85)*'Tillegg- Inndata GoF'!K85*Transport_utslipp_til_avfallshånderting_per_kg</f>
        <v>0</v>
      </c>
      <c r="U87" s="330">
        <f>IF('Tillegg- Inndata GoF'!E85 = 0, 0, 1.833*'Tillegg- Inndata GoF'!X85*'Tillegg- Inndata GoF'!K85*('Tillegg- Inndata GoF'!G85*('Tillegg- Inndata GoF'!L85*0.5+'Tillegg- Inndata GoF'!M85*0.8) + (12/44)*('Tillegg- Inndata GoF'!O85*'Tillegg- Inndata GoF'!Q85+'Tillegg- Inndata GoF'!S85*'Tillegg- Inndata GoF'!U85)))</f>
        <v>0</v>
      </c>
      <c r="V87" s="335">
        <f>IF('Tillegg- Inndata GoF'!G85 = 0, 0,  MAX(-SUM(F87:J87,L87)*'Tillegg- Inndata GoF'!L85, -0.114*IF('Tillegg- Inndata GoF'!H85 &gt; 49, _xlfn.XLOOKUP(49, År_etter_ferdigstillelse, karbon_opptak_faktor), _xlfn.XLOOKUP('Tillegg- Inndata GoF'!H85, År_etter_ferdigstillelse, karbon_opptak_faktor))*'Tillegg- Inndata GoF'!G85*'Tillegg- Inndata GoF'!L85*0.5))</f>
        <v>0</v>
      </c>
      <c r="W87" s="333">
        <f>IF('Tillegg- Inndata GoF'!G85=0,0,IF('Tillegg- Inndata GoF'!H85&gt;49,-0.064*'Tillegg- Inndata GoF'!G85*'Tillegg- Inndata GoF'!N85,-0.037*'Tillegg- Inndata GoF'!J85*'Tillegg- Inndata GoF'!N85))</f>
        <v>0</v>
      </c>
      <c r="X87" s="331" cm="1">
        <f t="array" ref="X87">IF(SUM(F87:J87,L87)=0, 0, SUM(F87:J87,L87)*(1+'Tillegg-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Y87" s="330" cm="1">
        <f t="array" ref="Y87">IF(X87=0, 0, SUM(K87,M87)*(1+'Tillegg-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Z87" s="336" cm="1">
        <f t="array" ref="Z87">IF(X87=0, 0, SUM(N87:P87)*(1+'Tillegg-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AA87" s="336" cm="1">
        <f t="array" ref="AA87">IF(X87=0, 0, ('Tillegg- Inndata GoF'!G85+'Tillegg- Inndata GoF'!O85+'Tillegg- Inndata GoF'!S85)*(1+'Tillegg- Inndata GoF'!K85)*Transport_utslipp_til_avfallshånderting_per_kg*IF('Tillegg- Inndata GoF'!H85&gt;50, 0, _xlfn.XLOOKUP('Tillegg- Inndata GoF'!H85, År_etter_ferdigstillelse, IF(VALUE(LEFT('Tillegg- Inndata GoF'!B85, 2))= 49, f_tid_x_f_tek_d_0_037_kumulativ, f_tid_x_f_tek_d_0_01_kumulativ))))</f>
        <v>0</v>
      </c>
      <c r="AB87" s="334" cm="1">
        <f t="array" ref="AB87">IF(X87=0, 0,1.833*'Tillegg- Inndata GoF'!J85*('Tillegg- Inndata GoF'!X85*_xlfn.XLOOKUP(IF('Tillegg- Inndata GoF'!I85&lt;2,'Tillegg- Inndata GoF'!H85,'Tillegg- Inndata GoF'!H85*2), År_etter_ferdigstillelse, Faktorer!$Z$7:$Z$58))*('Tillegg- Inndata GoF'!L85*0.5+'Tillegg- Inndata GoF'!M85*0.8)*_xlfn.XLOOKUP(IF('Tillegg- Inndata GoF'!I85&lt;2,'Tillegg- Inndata GoF'!H85,'Tillegg- Inndata GoF'!H85*2), År_etter_ferdigstillelse,  IF(LEFT('Tillegg- Inndata GoF'!B85, 2)= 49, f_tid_x_f_tek_d_0_037, f_tid_x_f_tek_d_0_01)))</f>
        <v>0</v>
      </c>
      <c r="AC87" s="335">
        <f>IF(('Tillegg- Inndata GoF'!G85) = 0, 0,(('Tillegg- Inndata GoF'!G85)*((AG87+AI87)*Transport_utslipp_til_avfallshånderting_per_kg)+('Tillegg- Inndata GoF'!Z85*'ZERO-B Beregning'!D187)*IF('ZERO-B Beregning'!F188=0,'ZERO-B Beregning'!D188,'ZERO-B Beregning'!F188))*_xlfn.XLOOKUP(51, År_etter_ferdigstillelse, f_tid_x_f_tek_d_0_01))</f>
        <v>0</v>
      </c>
      <c r="AD87" s="337">
        <f>IF(('Tillegg- Inndata GoF'!G85) = 0, 0,1.833*('Tillegg- Inndata GoF'!G85*('Tillegg- Inndata GoF'!L85*0.5+'Tillegg- Inndata GoF'!M85*0.8)*AG87*_xlfn.XLOOKUP(51, År_etter_ferdigstillelse,  f_tid_x_f_tek_d_0_01)))</f>
        <v>0</v>
      </c>
      <c r="AE87" s="333" cm="1">
        <f t="array" ref="AE87">IF(('Tillegg- Inndata GoF'!G85) = 0, 0,-0.8*('Tillegg- Inndata GoF'!G85)*AH87*('Tillegg- Inndata GoF'!E85/'Tillegg- Inndata GoF'!G85)*_xlfn.XLOOKUP(51, År_etter_ferdigstillelse,  IF(LEFT('Tillegg- Inndata GoF'!B85, 2)= 49, f_tid_x_f_tek_d_0_037, f_tid_x_f_tek_d_0_01)))</f>
        <v>0</v>
      </c>
      <c r="AF87" s="338" cm="1">
        <f t="array" ref="AF87">IF(('Tillegg- Inndata GoF'!G85) = 0, 0,-0.1*('Tillegg- Inndata GoF'!G85)*AI87*('Tillegg- Inndata GoF'!E85/'Tillegg- Inndata GoF'!G85)*_xlfn.XLOOKUP(51, År_etter_ferdigstillelse,  IF(LEFT('Tillegg- Inndata GoF'!B85, 2)= 49, f_tid_x_f_tek_d_0_037, f_tid_x_f_tek_d_0_01)))</f>
        <v>0</v>
      </c>
      <c r="AG87" s="572">
        <f>IF(('Tillegg- Inndata GoF'!G85) = 0, 0,'Tillegg- Inndata GoF'!X85*Faktorer!$Z$58)</f>
        <v>0</v>
      </c>
      <c r="AH87" s="573">
        <f>IF(('Tillegg- Inndata GoF'!G85) = 0, 0,'Tillegg- Inndata GoF'!Z85+('Tillegg- Inndata GoF'!X85+'Tillegg- Inndata GoF'!Y85)*(1-Faktorer!$Z$58)*0.5)</f>
        <v>0</v>
      </c>
      <c r="AI87" s="574">
        <f>IF(('Tillegg- Inndata GoF'!G85) = 0, 0,'Tillegg- Inndata GoF'!AA85+('Tillegg- Inndata GoF'!X85+'Tillegg- Inndata GoF'!Y85)*(1-Faktorer!$Z$58)*0.5)</f>
        <v>0</v>
      </c>
      <c r="AK87" s="90">
        <f t="shared" si="2"/>
        <v>0</v>
      </c>
      <c r="AL87" s="91">
        <f>'Tillegg- Res. detaljert GoF'!N87</f>
        <v>0</v>
      </c>
      <c r="AM87" s="91" t="str">
        <f>IF(F87=0,"",('Tillegg- Inndata GoF'!E87+'Tillegg- Inndata GoF'!F87)*ROUNDDOWN('Tillegg- Inndata GoF'!I87,0)*(1+'Tillegg- Inndata GoF'!K87))</f>
        <v/>
      </c>
    </row>
    <row r="88" spans="2:39">
      <c r="B88" s="327">
        <f>'Tillegg- Inndata GoF'!B86</f>
        <v>0</v>
      </c>
      <c r="C88" s="328">
        <f>'Tillegg- Inndata GoF'!C86</f>
        <v>0</v>
      </c>
      <c r="D88" s="329">
        <f>'Tillegg- Inndata GoF'!D86</f>
        <v>0</v>
      </c>
      <c r="E88" s="661" cm="1">
        <f t="array" ref="E88">SUM(IFERROR(F88:AF88,0))</f>
        <v>0</v>
      </c>
      <c r="F88" s="330">
        <f>'Tillegg- Inndata GoF'!E86</f>
        <v>0</v>
      </c>
      <c r="G88" s="330">
        <f>IF('Tillegg- Inndata GoF'!AB86="Ja", -0.8*'Tillegg- Res. detaljert GoF'!$F88, 0)</f>
        <v>0</v>
      </c>
      <c r="H88" s="330">
        <f>IF('Tillegg- Inndata GoF'!AC86="Ja", -0.4*'Tillegg- Res. detaljert GoF'!$F88, 0)</f>
        <v>0</v>
      </c>
      <c r="I88" s="330">
        <f>IF('Tillegg- Inndata GoF'!AD86="Ja", -1*'Tillegg- Res. detaljert GoF'!$F88, 0)</f>
        <v>0</v>
      </c>
      <c r="J88" s="330">
        <f>'Tillegg- Inndata GoF'!O86*'Tillegg- Inndata GoF'!P86</f>
        <v>0</v>
      </c>
      <c r="K88" s="330">
        <f>MAX(-0.75*(SUM('Tillegg- Res. detaljert GoF'!F88:J88)),-'Tillegg- Inndata GoF'!O86*'Tillegg- Inndata GoF'!Q86)</f>
        <v>0</v>
      </c>
      <c r="L88" s="330">
        <f>'Tillegg- Inndata GoF'!S86*'Tillegg- Inndata GoF'!T86</f>
        <v>0</v>
      </c>
      <c r="M88" s="330">
        <f>MAX(-0.75*(SUM('Tillegg- Res. detaljert GoF'!F88:I88,L88)),-'Tillegg- Inndata GoF'!S86*'Tillegg- Inndata GoF'!U86)</f>
        <v>0</v>
      </c>
      <c r="N88" s="331">
        <f>'Tillegg- Inndata GoF'!F86</f>
        <v>0</v>
      </c>
      <c r="O88" s="330">
        <f>'Tillegg- Inndata GoF'!O86*'Tillegg- Inndata GoF'!R86</f>
        <v>0</v>
      </c>
      <c r="P88" s="332">
        <f>'Tillegg- Inndata GoF'!S86*'Tillegg- Inndata GoF'!V86</f>
        <v>0</v>
      </c>
      <c r="Q88" s="333">
        <f>SUM(F88:J88,L88)*'Tillegg- Inndata GoF'!K86</f>
        <v>0</v>
      </c>
      <c r="R88" s="333">
        <f>(K88+M88)*'Tillegg- Inndata GoF'!K86</f>
        <v>0</v>
      </c>
      <c r="S88" s="333">
        <f>SUM(N88:P88)*'Tillegg- Inndata GoF'!K86</f>
        <v>0</v>
      </c>
      <c r="T88" s="334">
        <f>('Tillegg- Inndata GoF'!G86+'Tillegg- Inndata GoF'!O86+'Tillegg- Inndata GoF'!S86)*'Tillegg- Inndata GoF'!K86*Transport_utslipp_til_avfallshånderting_per_kg</f>
        <v>0</v>
      </c>
      <c r="U88" s="330">
        <f>IF('Tillegg- Inndata GoF'!E86 = 0, 0, 1.833*'Tillegg- Inndata GoF'!X86*'Tillegg- Inndata GoF'!K86*('Tillegg- Inndata GoF'!G86*('Tillegg- Inndata GoF'!L86*0.5+'Tillegg- Inndata GoF'!M86*0.8) + (12/44)*('Tillegg- Inndata GoF'!O86*'Tillegg- Inndata GoF'!Q86+'Tillegg- Inndata GoF'!S86*'Tillegg- Inndata GoF'!U86)))</f>
        <v>0</v>
      </c>
      <c r="V88" s="335">
        <f>IF('Tillegg- Inndata GoF'!G86 = 0, 0,  MAX(-SUM(F88:J88,L88)*'Tillegg- Inndata GoF'!L86, -0.114*IF('Tillegg- Inndata GoF'!H86 &gt; 49, _xlfn.XLOOKUP(49, År_etter_ferdigstillelse, karbon_opptak_faktor), _xlfn.XLOOKUP('Tillegg- Inndata GoF'!H86, År_etter_ferdigstillelse, karbon_opptak_faktor))*'Tillegg- Inndata GoF'!G86*'Tillegg- Inndata GoF'!L86*0.5))</f>
        <v>0</v>
      </c>
      <c r="W88" s="333">
        <f>IF('Tillegg- Inndata GoF'!G86=0,0,IF('Tillegg- Inndata GoF'!H86&gt;49,-0.064*'Tillegg- Inndata GoF'!G86*'Tillegg- Inndata GoF'!N86,-0.037*'Tillegg- Inndata GoF'!J86*'Tillegg- Inndata GoF'!N86))</f>
        <v>0</v>
      </c>
      <c r="X88" s="331" cm="1">
        <f t="array" ref="X88">IF(SUM(F88:J88,L88)=0, 0, SUM(F88:J88,L88)*(1+'Tillegg-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Y88" s="330" cm="1">
        <f t="array" ref="Y88">IF(X88=0, 0, SUM(K88,M88)*(1+'Tillegg-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Z88" s="336" cm="1">
        <f t="array" ref="Z88">IF(X88=0, 0, SUM(N88:P88)*(1+'Tillegg-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AA88" s="336" cm="1">
        <f t="array" ref="AA88">IF(X88=0, 0, ('Tillegg- Inndata GoF'!G86+'Tillegg- Inndata GoF'!O86+'Tillegg- Inndata GoF'!S86)*(1+'Tillegg- Inndata GoF'!K86)*Transport_utslipp_til_avfallshånderting_per_kg*IF('Tillegg- Inndata GoF'!H86&gt;50, 0, _xlfn.XLOOKUP('Tillegg- Inndata GoF'!H86, År_etter_ferdigstillelse, IF(VALUE(LEFT('Tillegg- Inndata GoF'!B86, 2))= 49, f_tid_x_f_tek_d_0_037_kumulativ, f_tid_x_f_tek_d_0_01_kumulativ))))</f>
        <v>0</v>
      </c>
      <c r="AB88" s="334" cm="1">
        <f t="array" ref="AB88">IF(X88=0, 0,1.833*'Tillegg- Inndata GoF'!J86*('Tillegg- Inndata GoF'!X86*_xlfn.XLOOKUP(IF('Tillegg- Inndata GoF'!I86&lt;2,'Tillegg- Inndata GoF'!H86,'Tillegg- Inndata GoF'!H86*2), År_etter_ferdigstillelse, Faktorer!$Z$7:$Z$58))*('Tillegg- Inndata GoF'!L86*0.5+'Tillegg- Inndata GoF'!M86*0.8)*_xlfn.XLOOKUP(IF('Tillegg- Inndata GoF'!I86&lt;2,'Tillegg- Inndata GoF'!H86,'Tillegg- Inndata GoF'!H86*2), År_etter_ferdigstillelse,  IF(LEFT('Tillegg- Inndata GoF'!B86, 2)= 49, f_tid_x_f_tek_d_0_037, f_tid_x_f_tek_d_0_01)))</f>
        <v>0</v>
      </c>
      <c r="AC88" s="335">
        <f>IF(('Tillegg- Inndata GoF'!G86) = 0, 0,(('Tillegg- Inndata GoF'!G86)*((AG88+AI88)*Transport_utslipp_til_avfallshånderting_per_kg)+('Tillegg- Inndata GoF'!Z86*'ZERO-B Beregning'!D188)*IF('ZERO-B Beregning'!F189=0,'ZERO-B Beregning'!D189,'ZERO-B Beregning'!F189))*_xlfn.XLOOKUP(51, År_etter_ferdigstillelse, f_tid_x_f_tek_d_0_01))</f>
        <v>0</v>
      </c>
      <c r="AD88" s="337">
        <f>IF(('Tillegg- Inndata GoF'!G86) = 0, 0,1.833*('Tillegg- Inndata GoF'!G86*('Tillegg- Inndata GoF'!L86*0.5+'Tillegg- Inndata GoF'!M86*0.8)*AG88*_xlfn.XLOOKUP(51, År_etter_ferdigstillelse,  f_tid_x_f_tek_d_0_01)))</f>
        <v>0</v>
      </c>
      <c r="AE88" s="333" cm="1">
        <f t="array" ref="AE88">IF(('Tillegg- Inndata GoF'!G86) = 0, 0,-0.8*('Tillegg- Inndata GoF'!G86)*AH88*('Tillegg- Inndata GoF'!E86/'Tillegg- Inndata GoF'!G86)*_xlfn.XLOOKUP(51, År_etter_ferdigstillelse,  IF(LEFT('Tillegg- Inndata GoF'!B86, 2)= 49, f_tid_x_f_tek_d_0_037, f_tid_x_f_tek_d_0_01)))</f>
        <v>0</v>
      </c>
      <c r="AF88" s="338" cm="1">
        <f t="array" ref="AF88">IF(('Tillegg- Inndata GoF'!G86) = 0, 0,-0.1*('Tillegg- Inndata GoF'!G86)*AI88*('Tillegg- Inndata GoF'!E86/'Tillegg- Inndata GoF'!G86)*_xlfn.XLOOKUP(51, År_etter_ferdigstillelse,  IF(LEFT('Tillegg- Inndata GoF'!B86, 2)= 49, f_tid_x_f_tek_d_0_037, f_tid_x_f_tek_d_0_01)))</f>
        <v>0</v>
      </c>
      <c r="AG88" s="572">
        <f>IF(('Tillegg- Inndata GoF'!G86) = 0, 0,'Tillegg- Inndata GoF'!X86*Faktorer!$Z$58)</f>
        <v>0</v>
      </c>
      <c r="AH88" s="573">
        <f>IF(('Tillegg- Inndata GoF'!G86) = 0, 0,'Tillegg- Inndata GoF'!Z86+('Tillegg- Inndata GoF'!X86+'Tillegg- Inndata GoF'!Y86)*(1-Faktorer!$Z$58)*0.5)</f>
        <v>0</v>
      </c>
      <c r="AI88" s="574">
        <f>IF(('Tillegg- Inndata GoF'!G86) = 0, 0,'Tillegg- Inndata GoF'!AA86+('Tillegg- Inndata GoF'!X86+'Tillegg- Inndata GoF'!Y86)*(1-Faktorer!$Z$58)*0.5)</f>
        <v>0</v>
      </c>
      <c r="AK88" s="90">
        <f t="shared" si="2"/>
        <v>0</v>
      </c>
      <c r="AL88" s="91">
        <f>'Tillegg- Res. detaljert GoF'!N88</f>
        <v>0</v>
      </c>
      <c r="AM88" s="91" t="str">
        <f>IF(F88=0,"",('Tillegg- Inndata GoF'!E88+'Tillegg- Inndata GoF'!F88)*ROUNDDOWN('Tillegg- Inndata GoF'!I88,0)*(1+'Tillegg- Inndata GoF'!K88))</f>
        <v/>
      </c>
    </row>
    <row r="89" spans="2:39">
      <c r="B89" s="327">
        <f>'Tillegg- Inndata GoF'!B87</f>
        <v>0</v>
      </c>
      <c r="C89" s="328">
        <f>'Tillegg- Inndata GoF'!C87</f>
        <v>0</v>
      </c>
      <c r="D89" s="329">
        <f>'Tillegg- Inndata GoF'!D87</f>
        <v>0</v>
      </c>
      <c r="E89" s="661" cm="1">
        <f t="array" ref="E89">SUM(IFERROR(F89:AF89,0))</f>
        <v>0</v>
      </c>
      <c r="F89" s="330">
        <f>'Tillegg- Inndata GoF'!E87</f>
        <v>0</v>
      </c>
      <c r="G89" s="330">
        <f>IF('Tillegg- Inndata GoF'!AB87="Ja", -0.8*'Tillegg- Res. detaljert GoF'!$F89, 0)</f>
        <v>0</v>
      </c>
      <c r="H89" s="330">
        <f>IF('Tillegg- Inndata GoF'!AC87="Ja", -0.4*'Tillegg- Res. detaljert GoF'!$F89, 0)</f>
        <v>0</v>
      </c>
      <c r="I89" s="330">
        <f>IF('Tillegg- Inndata GoF'!AD87="Ja", -1*'Tillegg- Res. detaljert GoF'!$F89, 0)</f>
        <v>0</v>
      </c>
      <c r="J89" s="330">
        <f>'Tillegg- Inndata GoF'!O87*'Tillegg- Inndata GoF'!P87</f>
        <v>0</v>
      </c>
      <c r="K89" s="330">
        <f>MAX(-0.75*(SUM('Tillegg- Res. detaljert GoF'!F89:J89)),-'Tillegg- Inndata GoF'!O87*'Tillegg- Inndata GoF'!Q87)</f>
        <v>0</v>
      </c>
      <c r="L89" s="330">
        <f>'Tillegg- Inndata GoF'!S87*'Tillegg- Inndata GoF'!T87</f>
        <v>0</v>
      </c>
      <c r="M89" s="330">
        <f>MAX(-0.75*(SUM('Tillegg- Res. detaljert GoF'!F89:I89,L89)),-'Tillegg- Inndata GoF'!S87*'Tillegg- Inndata GoF'!U87)</f>
        <v>0</v>
      </c>
      <c r="N89" s="331">
        <f>'Tillegg- Inndata GoF'!F87</f>
        <v>0</v>
      </c>
      <c r="O89" s="330">
        <f>'Tillegg- Inndata GoF'!O87*'Tillegg- Inndata GoF'!R87</f>
        <v>0</v>
      </c>
      <c r="P89" s="332">
        <f>'Tillegg- Inndata GoF'!S87*'Tillegg- Inndata GoF'!V87</f>
        <v>0</v>
      </c>
      <c r="Q89" s="333">
        <f>SUM(F89:J89,L89)*'Tillegg- Inndata GoF'!K87</f>
        <v>0</v>
      </c>
      <c r="R89" s="333">
        <f>(K89+M89)*'Tillegg- Inndata GoF'!K87</f>
        <v>0</v>
      </c>
      <c r="S89" s="333">
        <f>SUM(N89:P89)*'Tillegg- Inndata GoF'!K87</f>
        <v>0</v>
      </c>
      <c r="T89" s="334">
        <f>('Tillegg- Inndata GoF'!G87+'Tillegg- Inndata GoF'!O87+'Tillegg- Inndata GoF'!S87)*'Tillegg- Inndata GoF'!K87*Transport_utslipp_til_avfallshånderting_per_kg</f>
        <v>0</v>
      </c>
      <c r="U89" s="330">
        <f>IF('Tillegg- Inndata GoF'!E87 = 0, 0, 1.833*'Tillegg- Inndata GoF'!X87*'Tillegg- Inndata GoF'!K87*('Tillegg- Inndata GoF'!G87*('Tillegg- Inndata GoF'!L87*0.5+'Tillegg- Inndata GoF'!M87*0.8) + (12/44)*('Tillegg- Inndata GoF'!O87*'Tillegg- Inndata GoF'!Q87+'Tillegg- Inndata GoF'!S87*'Tillegg- Inndata GoF'!U87)))</f>
        <v>0</v>
      </c>
      <c r="V89" s="335">
        <f>IF('Tillegg- Inndata GoF'!G87 = 0, 0,  MAX(-SUM(F89:J89,L89)*'Tillegg- Inndata GoF'!L87, -0.114*IF('Tillegg- Inndata GoF'!H87 &gt; 49, _xlfn.XLOOKUP(49, År_etter_ferdigstillelse, karbon_opptak_faktor), _xlfn.XLOOKUP('Tillegg- Inndata GoF'!H87, År_etter_ferdigstillelse, karbon_opptak_faktor))*'Tillegg- Inndata GoF'!G87*'Tillegg- Inndata GoF'!L87*0.5))</f>
        <v>0</v>
      </c>
      <c r="W89" s="333">
        <f>IF('Tillegg- Inndata GoF'!G87=0,0,IF('Tillegg- Inndata GoF'!H87&gt;49,-0.064*'Tillegg- Inndata GoF'!G87*'Tillegg- Inndata GoF'!N87,-0.037*'Tillegg- Inndata GoF'!J87*'Tillegg- Inndata GoF'!N87))</f>
        <v>0</v>
      </c>
      <c r="X89" s="331" cm="1">
        <f t="array" ref="X89">IF(SUM(F89:J89,L89)=0, 0, SUM(F89:J89,L89)*(1+'Tillegg-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Y89" s="330" cm="1">
        <f t="array" ref="Y89">IF(X89=0, 0, SUM(K89,M89)*(1+'Tillegg-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Z89" s="336" cm="1">
        <f t="array" ref="Z89">IF(X89=0, 0, SUM(N89:P89)*(1+'Tillegg-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AA89" s="336" cm="1">
        <f t="array" ref="AA89">IF(X89=0, 0, ('Tillegg- Inndata GoF'!G87+'Tillegg- Inndata GoF'!O87+'Tillegg- Inndata GoF'!S87)*(1+'Tillegg- Inndata GoF'!K87)*Transport_utslipp_til_avfallshånderting_per_kg*IF('Tillegg- Inndata GoF'!H87&gt;50, 0, _xlfn.XLOOKUP('Tillegg- Inndata GoF'!H87, År_etter_ferdigstillelse, IF(VALUE(LEFT('Tillegg- Inndata GoF'!B87, 2))= 49, f_tid_x_f_tek_d_0_037_kumulativ, f_tid_x_f_tek_d_0_01_kumulativ))))</f>
        <v>0</v>
      </c>
      <c r="AB89" s="334" cm="1">
        <f t="array" ref="AB89">IF(X89=0, 0,1.833*'Tillegg- Inndata GoF'!J87*('Tillegg- Inndata GoF'!X87*_xlfn.XLOOKUP(IF('Tillegg- Inndata GoF'!I87&lt;2,'Tillegg- Inndata GoF'!H87,'Tillegg- Inndata GoF'!H87*2), År_etter_ferdigstillelse, Faktorer!$Z$7:$Z$58))*('Tillegg- Inndata GoF'!L87*0.5+'Tillegg- Inndata GoF'!M87*0.8)*_xlfn.XLOOKUP(IF('Tillegg- Inndata GoF'!I87&lt;2,'Tillegg- Inndata GoF'!H87,'Tillegg- Inndata GoF'!H87*2), År_etter_ferdigstillelse,  IF(LEFT('Tillegg- Inndata GoF'!B87, 2)= 49, f_tid_x_f_tek_d_0_037, f_tid_x_f_tek_d_0_01)))</f>
        <v>0</v>
      </c>
      <c r="AC89" s="335">
        <f>IF(('Tillegg- Inndata GoF'!G87) = 0, 0,(('Tillegg- Inndata GoF'!G87)*((AG89+AI89)*Transport_utslipp_til_avfallshånderting_per_kg)+('Tillegg- Inndata GoF'!Z87*'ZERO-B Beregning'!D189)*IF('ZERO-B Beregning'!F190=0,'ZERO-B Beregning'!D190,'ZERO-B Beregning'!F190))*_xlfn.XLOOKUP(51, År_etter_ferdigstillelse, f_tid_x_f_tek_d_0_01))</f>
        <v>0</v>
      </c>
      <c r="AD89" s="337">
        <f>IF(('Tillegg- Inndata GoF'!G87) = 0, 0,1.833*('Tillegg- Inndata GoF'!G87*('Tillegg- Inndata GoF'!L87*0.5+'Tillegg- Inndata GoF'!M87*0.8)*AG89*_xlfn.XLOOKUP(51, År_etter_ferdigstillelse,  f_tid_x_f_tek_d_0_01)))</f>
        <v>0</v>
      </c>
      <c r="AE89" s="333" cm="1">
        <f t="array" ref="AE89">IF(('Tillegg- Inndata GoF'!G87) = 0, 0,-0.8*('Tillegg- Inndata GoF'!G87)*AH89*('Tillegg- Inndata GoF'!E87/'Tillegg- Inndata GoF'!G87)*_xlfn.XLOOKUP(51, År_etter_ferdigstillelse,  IF(LEFT('Tillegg- Inndata GoF'!B87, 2)= 49, f_tid_x_f_tek_d_0_037, f_tid_x_f_tek_d_0_01)))</f>
        <v>0</v>
      </c>
      <c r="AF89" s="338" cm="1">
        <f t="array" ref="AF89">IF(('Tillegg- Inndata GoF'!G87) = 0, 0,-0.1*('Tillegg- Inndata GoF'!G87)*AI89*('Tillegg- Inndata GoF'!E87/'Tillegg- Inndata GoF'!G87)*_xlfn.XLOOKUP(51, År_etter_ferdigstillelse,  IF(LEFT('Tillegg- Inndata GoF'!B87, 2)= 49, f_tid_x_f_tek_d_0_037, f_tid_x_f_tek_d_0_01)))</f>
        <v>0</v>
      </c>
      <c r="AG89" s="572">
        <f>IF(('Tillegg- Inndata GoF'!G87) = 0, 0,'Tillegg- Inndata GoF'!X87*Faktorer!$Z$58)</f>
        <v>0</v>
      </c>
      <c r="AH89" s="573">
        <f>IF(('Tillegg- Inndata GoF'!G87) = 0, 0,'Tillegg- Inndata GoF'!Z87+('Tillegg- Inndata GoF'!X87+'Tillegg- Inndata GoF'!Y87)*(1-Faktorer!$Z$58)*0.5)</f>
        <v>0</v>
      </c>
      <c r="AI89" s="574">
        <f>IF(('Tillegg- Inndata GoF'!G87) = 0, 0,'Tillegg- Inndata GoF'!AA87+('Tillegg- Inndata GoF'!X87+'Tillegg- Inndata GoF'!Y87)*(1-Faktorer!$Z$58)*0.5)</f>
        <v>0</v>
      </c>
      <c r="AK89" s="90">
        <f t="shared" si="2"/>
        <v>0</v>
      </c>
      <c r="AL89" s="91">
        <f>'Tillegg- Res. detaljert GoF'!N89</f>
        <v>0</v>
      </c>
      <c r="AM89" s="91" t="str">
        <f>IF(F89=0,"",('Tillegg- Inndata GoF'!E89+'Tillegg- Inndata GoF'!F89)*ROUNDDOWN('Tillegg- Inndata GoF'!I89,0)*(1+'Tillegg- Inndata GoF'!K89))</f>
        <v/>
      </c>
    </row>
    <row r="90" spans="2:39">
      <c r="B90" s="327">
        <f>'Tillegg- Inndata GoF'!B88</f>
        <v>0</v>
      </c>
      <c r="C90" s="328">
        <f>'Tillegg- Inndata GoF'!C88</f>
        <v>0</v>
      </c>
      <c r="D90" s="329">
        <f>'Tillegg- Inndata GoF'!D88</f>
        <v>0</v>
      </c>
      <c r="E90" s="661" cm="1">
        <f t="array" ref="E90">SUM(IFERROR(F90:AF90,0))</f>
        <v>0</v>
      </c>
      <c r="F90" s="330">
        <f>'Tillegg- Inndata GoF'!E88</f>
        <v>0</v>
      </c>
      <c r="G90" s="330">
        <f>IF('Tillegg- Inndata GoF'!AB88="Ja", -0.8*'Tillegg- Res. detaljert GoF'!$F90, 0)</f>
        <v>0</v>
      </c>
      <c r="H90" s="330">
        <f>IF('Tillegg- Inndata GoF'!AC88="Ja", -0.4*'Tillegg- Res. detaljert GoF'!$F90, 0)</f>
        <v>0</v>
      </c>
      <c r="I90" s="330">
        <f>IF('Tillegg- Inndata GoF'!AD88="Ja", -1*'Tillegg- Res. detaljert GoF'!$F90, 0)</f>
        <v>0</v>
      </c>
      <c r="J90" s="330">
        <f>'Tillegg- Inndata GoF'!O88*'Tillegg- Inndata GoF'!P88</f>
        <v>0</v>
      </c>
      <c r="K90" s="330">
        <f>MAX(-0.75*(SUM('Tillegg- Res. detaljert GoF'!F90:J90)),-'Tillegg- Inndata GoF'!O88*'Tillegg- Inndata GoF'!Q88)</f>
        <v>0</v>
      </c>
      <c r="L90" s="330">
        <f>'Tillegg- Inndata GoF'!S88*'Tillegg- Inndata GoF'!T88</f>
        <v>0</v>
      </c>
      <c r="M90" s="330">
        <f>MAX(-0.75*(SUM('Tillegg- Res. detaljert GoF'!F90:I90,L90)),-'Tillegg- Inndata GoF'!S88*'Tillegg- Inndata GoF'!U88)</f>
        <v>0</v>
      </c>
      <c r="N90" s="331">
        <f>'Tillegg- Inndata GoF'!F88</f>
        <v>0</v>
      </c>
      <c r="O90" s="330">
        <f>'Tillegg- Inndata GoF'!O88*'Tillegg- Inndata GoF'!R88</f>
        <v>0</v>
      </c>
      <c r="P90" s="332">
        <f>'Tillegg- Inndata GoF'!S88*'Tillegg- Inndata GoF'!V88</f>
        <v>0</v>
      </c>
      <c r="Q90" s="333">
        <f>SUM(F90:J90,L90)*'Tillegg- Inndata GoF'!K88</f>
        <v>0</v>
      </c>
      <c r="R90" s="333">
        <f>(K90+M90)*'Tillegg- Inndata GoF'!K88</f>
        <v>0</v>
      </c>
      <c r="S90" s="333">
        <f>SUM(N90:P90)*'Tillegg- Inndata GoF'!K88</f>
        <v>0</v>
      </c>
      <c r="T90" s="334">
        <f>('Tillegg- Inndata GoF'!G88+'Tillegg- Inndata GoF'!O88+'Tillegg- Inndata GoF'!S88)*'Tillegg- Inndata GoF'!K88*Transport_utslipp_til_avfallshånderting_per_kg</f>
        <v>0</v>
      </c>
      <c r="U90" s="330">
        <f>IF('Tillegg- Inndata GoF'!E88 = 0, 0, 1.833*'Tillegg- Inndata GoF'!X88*'Tillegg- Inndata GoF'!K88*('Tillegg- Inndata GoF'!G88*('Tillegg- Inndata GoF'!L88*0.5+'Tillegg- Inndata GoF'!M88*0.8) + (12/44)*('Tillegg- Inndata GoF'!O88*'Tillegg- Inndata GoF'!Q88+'Tillegg- Inndata GoF'!S88*'Tillegg- Inndata GoF'!U88)))</f>
        <v>0</v>
      </c>
      <c r="V90" s="335">
        <f>IF('Tillegg- Inndata GoF'!G88 = 0, 0,  MAX(-SUM(F90:J90,L90)*'Tillegg- Inndata GoF'!L88, -0.114*IF('Tillegg- Inndata GoF'!H88 &gt; 49, _xlfn.XLOOKUP(49, År_etter_ferdigstillelse, karbon_opptak_faktor), _xlfn.XLOOKUP('Tillegg- Inndata GoF'!H88, År_etter_ferdigstillelse, karbon_opptak_faktor))*'Tillegg- Inndata GoF'!G88*'Tillegg- Inndata GoF'!L88*0.5))</f>
        <v>0</v>
      </c>
      <c r="W90" s="333">
        <f>IF('Tillegg- Inndata GoF'!G88=0,0,IF('Tillegg- Inndata GoF'!H88&gt;49,-0.064*'Tillegg- Inndata GoF'!G88*'Tillegg- Inndata GoF'!N88,-0.037*'Tillegg- Inndata GoF'!J88*'Tillegg- Inndata GoF'!N88))</f>
        <v>0</v>
      </c>
      <c r="X90" s="331" cm="1">
        <f t="array" ref="X90">IF(SUM(F90:J90,L90)=0, 0, SUM(F90:J90,L90)*(1+'Tillegg-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Y90" s="330" cm="1">
        <f t="array" ref="Y90">IF(X90=0, 0, SUM(K90,M90)*(1+'Tillegg-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Z90" s="336" cm="1">
        <f t="array" ref="Z90">IF(X90=0, 0, SUM(N90:P90)*(1+'Tillegg-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AA90" s="336" cm="1">
        <f t="array" ref="AA90">IF(X90=0, 0, ('Tillegg- Inndata GoF'!G88+'Tillegg- Inndata GoF'!O88+'Tillegg- Inndata GoF'!S88)*(1+'Tillegg- Inndata GoF'!K88)*Transport_utslipp_til_avfallshånderting_per_kg*IF('Tillegg- Inndata GoF'!H88&gt;50, 0, _xlfn.XLOOKUP('Tillegg- Inndata GoF'!H88, År_etter_ferdigstillelse, IF(VALUE(LEFT('Tillegg- Inndata GoF'!B88, 2))= 49, f_tid_x_f_tek_d_0_037_kumulativ, f_tid_x_f_tek_d_0_01_kumulativ))))</f>
        <v>0</v>
      </c>
      <c r="AB90" s="334" cm="1">
        <f t="array" ref="AB90">IF(X90=0, 0,1.833*'Tillegg- Inndata GoF'!J88*('Tillegg- Inndata GoF'!X88*_xlfn.XLOOKUP(IF('Tillegg- Inndata GoF'!I88&lt;2,'Tillegg- Inndata GoF'!H88,'Tillegg- Inndata GoF'!H88*2), År_etter_ferdigstillelse, Faktorer!$Z$7:$Z$58))*('Tillegg- Inndata GoF'!L88*0.5+'Tillegg- Inndata GoF'!M88*0.8)*_xlfn.XLOOKUP(IF('Tillegg- Inndata GoF'!I88&lt;2,'Tillegg- Inndata GoF'!H88,'Tillegg- Inndata GoF'!H88*2), År_etter_ferdigstillelse,  IF(LEFT('Tillegg- Inndata GoF'!B88, 2)= 49, f_tid_x_f_tek_d_0_037, f_tid_x_f_tek_d_0_01)))</f>
        <v>0</v>
      </c>
      <c r="AC90" s="335">
        <f>IF(('Tillegg- Inndata GoF'!G88) = 0, 0,(('Tillegg- Inndata GoF'!G88)*((AG90+AI90)*Transport_utslipp_til_avfallshånderting_per_kg)+('Tillegg- Inndata GoF'!Z88*'ZERO-B Beregning'!D190)*IF('ZERO-B Beregning'!F191=0,'ZERO-B Beregning'!D191,'ZERO-B Beregning'!F191))*_xlfn.XLOOKUP(51, År_etter_ferdigstillelse, f_tid_x_f_tek_d_0_01))</f>
        <v>0</v>
      </c>
      <c r="AD90" s="337">
        <f>IF(('Tillegg- Inndata GoF'!G88) = 0, 0,1.833*('Tillegg- Inndata GoF'!G88*('Tillegg- Inndata GoF'!L88*0.5+'Tillegg- Inndata GoF'!M88*0.8)*AG90*_xlfn.XLOOKUP(51, År_etter_ferdigstillelse,  f_tid_x_f_tek_d_0_01)))</f>
        <v>0</v>
      </c>
      <c r="AE90" s="333" cm="1">
        <f t="array" ref="AE90">IF(('Tillegg- Inndata GoF'!G88) = 0, 0,-0.8*('Tillegg- Inndata GoF'!G88)*AH90*('Tillegg- Inndata GoF'!E88/'Tillegg- Inndata GoF'!G88)*_xlfn.XLOOKUP(51, År_etter_ferdigstillelse,  IF(LEFT('Tillegg- Inndata GoF'!B88, 2)= 49, f_tid_x_f_tek_d_0_037, f_tid_x_f_tek_d_0_01)))</f>
        <v>0</v>
      </c>
      <c r="AF90" s="338" cm="1">
        <f t="array" ref="AF90">IF(('Tillegg- Inndata GoF'!G88) = 0, 0,-0.1*('Tillegg- Inndata GoF'!G88)*AI90*('Tillegg- Inndata GoF'!E88/'Tillegg- Inndata GoF'!G88)*_xlfn.XLOOKUP(51, År_etter_ferdigstillelse,  IF(LEFT('Tillegg- Inndata GoF'!B88, 2)= 49, f_tid_x_f_tek_d_0_037, f_tid_x_f_tek_d_0_01)))</f>
        <v>0</v>
      </c>
      <c r="AG90" s="572">
        <f>IF(('Tillegg- Inndata GoF'!G88) = 0, 0,'Tillegg- Inndata GoF'!X88*Faktorer!$Z$58)</f>
        <v>0</v>
      </c>
      <c r="AH90" s="573">
        <f>IF(('Tillegg- Inndata GoF'!G88) = 0, 0,'Tillegg- Inndata GoF'!Z88+('Tillegg- Inndata GoF'!X88+'Tillegg- Inndata GoF'!Y88)*(1-Faktorer!$Z$58)*0.5)</f>
        <v>0</v>
      </c>
      <c r="AI90" s="574">
        <f>IF(('Tillegg- Inndata GoF'!G88) = 0, 0,'Tillegg- Inndata GoF'!AA88+('Tillegg- Inndata GoF'!X88+'Tillegg- Inndata GoF'!Y88)*(1-Faktorer!$Z$58)*0.5)</f>
        <v>0</v>
      </c>
      <c r="AK90" s="90">
        <f t="shared" si="2"/>
        <v>0</v>
      </c>
      <c r="AL90" s="91">
        <f>'Tillegg- Res. detaljert GoF'!N90</f>
        <v>0</v>
      </c>
      <c r="AM90" s="91" t="str">
        <f>IF(F90=0,"",('Tillegg- Inndata GoF'!E90+'Tillegg- Inndata GoF'!F90)*ROUNDDOWN('Tillegg- Inndata GoF'!I90,0)*(1+'Tillegg- Inndata GoF'!K90))</f>
        <v/>
      </c>
    </row>
    <row r="91" spans="2:39">
      <c r="B91" s="327">
        <f>'Tillegg- Inndata GoF'!B89</f>
        <v>0</v>
      </c>
      <c r="C91" s="328">
        <f>'Tillegg- Inndata GoF'!C89</f>
        <v>0</v>
      </c>
      <c r="D91" s="329">
        <f>'Tillegg- Inndata GoF'!D89</f>
        <v>0</v>
      </c>
      <c r="E91" s="661" cm="1">
        <f t="array" ref="E91">SUM(IFERROR(F91:AF91,0))</f>
        <v>0</v>
      </c>
      <c r="F91" s="330">
        <f>'Tillegg- Inndata GoF'!E89</f>
        <v>0</v>
      </c>
      <c r="G91" s="330">
        <f>IF('Tillegg- Inndata GoF'!AB89="Ja", -0.8*'Tillegg- Res. detaljert GoF'!$F91, 0)</f>
        <v>0</v>
      </c>
      <c r="H91" s="330">
        <f>IF('Tillegg- Inndata GoF'!AC89="Ja", -0.4*'Tillegg- Res. detaljert GoF'!$F91, 0)</f>
        <v>0</v>
      </c>
      <c r="I91" s="330">
        <f>IF('Tillegg- Inndata GoF'!AD89="Ja", -1*'Tillegg- Res. detaljert GoF'!$F91, 0)</f>
        <v>0</v>
      </c>
      <c r="J91" s="330">
        <f>'Tillegg- Inndata GoF'!O89*'Tillegg- Inndata GoF'!P89</f>
        <v>0</v>
      </c>
      <c r="K91" s="330">
        <f>MAX(-0.75*(SUM('Tillegg- Res. detaljert GoF'!F91:J91)),-'Tillegg- Inndata GoF'!O89*'Tillegg- Inndata GoF'!Q89)</f>
        <v>0</v>
      </c>
      <c r="L91" s="330">
        <f>'Tillegg- Inndata GoF'!S89*'Tillegg- Inndata GoF'!T89</f>
        <v>0</v>
      </c>
      <c r="M91" s="330">
        <f>MAX(-0.75*(SUM('Tillegg- Res. detaljert GoF'!F91:I91,L91)),-'Tillegg- Inndata GoF'!S89*'Tillegg- Inndata GoF'!U89)</f>
        <v>0</v>
      </c>
      <c r="N91" s="331">
        <f>'Tillegg- Inndata GoF'!F89</f>
        <v>0</v>
      </c>
      <c r="O91" s="330">
        <f>'Tillegg- Inndata GoF'!O89*'Tillegg- Inndata GoF'!R89</f>
        <v>0</v>
      </c>
      <c r="P91" s="332">
        <f>'Tillegg- Inndata GoF'!S89*'Tillegg- Inndata GoF'!V89</f>
        <v>0</v>
      </c>
      <c r="Q91" s="333">
        <f>SUM(F91:J91,L91)*'Tillegg- Inndata GoF'!K89</f>
        <v>0</v>
      </c>
      <c r="R91" s="333">
        <f>(K91+M91)*'Tillegg- Inndata GoF'!K89</f>
        <v>0</v>
      </c>
      <c r="S91" s="333">
        <f>SUM(N91:P91)*'Tillegg- Inndata GoF'!K89</f>
        <v>0</v>
      </c>
      <c r="T91" s="334">
        <f>('Tillegg- Inndata GoF'!G89+'Tillegg- Inndata GoF'!O89+'Tillegg- Inndata GoF'!S89)*'Tillegg- Inndata GoF'!K89*Transport_utslipp_til_avfallshånderting_per_kg</f>
        <v>0</v>
      </c>
      <c r="U91" s="330">
        <f>IF('Tillegg- Inndata GoF'!E89 = 0, 0, 1.833*'Tillegg- Inndata GoF'!X89*'Tillegg- Inndata GoF'!K89*('Tillegg- Inndata GoF'!G89*('Tillegg- Inndata GoF'!L89*0.5+'Tillegg- Inndata GoF'!M89*0.8) + (12/44)*('Tillegg- Inndata GoF'!O89*'Tillegg- Inndata GoF'!Q89+'Tillegg- Inndata GoF'!S89*'Tillegg- Inndata GoF'!U89)))</f>
        <v>0</v>
      </c>
      <c r="V91" s="335">
        <f>IF('Tillegg- Inndata GoF'!G89 = 0, 0,  MAX(-SUM(F91:J91,L91)*'Tillegg- Inndata GoF'!L89, -0.114*IF('Tillegg- Inndata GoF'!H89 &gt; 49, _xlfn.XLOOKUP(49, År_etter_ferdigstillelse, karbon_opptak_faktor), _xlfn.XLOOKUP('Tillegg- Inndata GoF'!H89, År_etter_ferdigstillelse, karbon_opptak_faktor))*'Tillegg- Inndata GoF'!G89*'Tillegg- Inndata GoF'!L89*0.5))</f>
        <v>0</v>
      </c>
      <c r="W91" s="333">
        <f>IF('Tillegg- Inndata GoF'!G89=0,0,IF('Tillegg- Inndata GoF'!H89&gt;49,-0.064*'Tillegg- Inndata GoF'!G89*'Tillegg- Inndata GoF'!N89,-0.037*'Tillegg- Inndata GoF'!J89*'Tillegg- Inndata GoF'!N89))</f>
        <v>0</v>
      </c>
      <c r="X91" s="331" cm="1">
        <f t="array" ref="X91">IF(SUM(F91:J91,L91)=0, 0, SUM(F91:J91,L91)*(1+'Tillegg-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Y91" s="330" cm="1">
        <f t="array" ref="Y91">IF(X91=0, 0, SUM(K91,M91)*(1+'Tillegg-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Z91" s="336" cm="1">
        <f t="array" ref="Z91">IF(X91=0, 0, SUM(N91:P91)*(1+'Tillegg-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AA91" s="336" cm="1">
        <f t="array" ref="AA91">IF(X91=0, 0, ('Tillegg- Inndata GoF'!G89+'Tillegg- Inndata GoF'!O89+'Tillegg- Inndata GoF'!S89)*(1+'Tillegg- Inndata GoF'!K89)*Transport_utslipp_til_avfallshånderting_per_kg*IF('Tillegg- Inndata GoF'!H89&gt;50, 0, _xlfn.XLOOKUP('Tillegg- Inndata GoF'!H89, År_etter_ferdigstillelse, IF(VALUE(LEFT('Tillegg- Inndata GoF'!B89, 2))= 49, f_tid_x_f_tek_d_0_037_kumulativ, f_tid_x_f_tek_d_0_01_kumulativ))))</f>
        <v>0</v>
      </c>
      <c r="AB91" s="334" cm="1">
        <f t="array" ref="AB91">IF(X91=0, 0,1.833*'Tillegg- Inndata GoF'!J89*('Tillegg- Inndata GoF'!X89*_xlfn.XLOOKUP(IF('Tillegg- Inndata GoF'!I89&lt;2,'Tillegg- Inndata GoF'!H89,'Tillegg- Inndata GoF'!H89*2), År_etter_ferdigstillelse, Faktorer!$Z$7:$Z$58))*('Tillegg- Inndata GoF'!L89*0.5+'Tillegg- Inndata GoF'!M89*0.8)*_xlfn.XLOOKUP(IF('Tillegg- Inndata GoF'!I89&lt;2,'Tillegg- Inndata GoF'!H89,'Tillegg- Inndata GoF'!H89*2), År_etter_ferdigstillelse,  IF(LEFT('Tillegg- Inndata GoF'!B89, 2)= 49, f_tid_x_f_tek_d_0_037, f_tid_x_f_tek_d_0_01)))</f>
        <v>0</v>
      </c>
      <c r="AC91" s="335">
        <f>IF(('Tillegg- Inndata GoF'!G89) = 0, 0,(('Tillegg- Inndata GoF'!G89)*((AG91+AI91)*Transport_utslipp_til_avfallshånderting_per_kg)+('Tillegg- Inndata GoF'!Z89*'ZERO-B Beregning'!D191)*IF('ZERO-B Beregning'!F192=0,'ZERO-B Beregning'!D192,'ZERO-B Beregning'!F192))*_xlfn.XLOOKUP(51, År_etter_ferdigstillelse, f_tid_x_f_tek_d_0_01))</f>
        <v>0</v>
      </c>
      <c r="AD91" s="337">
        <f>IF(('Tillegg- Inndata GoF'!G89) = 0, 0,1.833*('Tillegg- Inndata GoF'!G89*('Tillegg- Inndata GoF'!L89*0.5+'Tillegg- Inndata GoF'!M89*0.8)*AG91*_xlfn.XLOOKUP(51, År_etter_ferdigstillelse,  f_tid_x_f_tek_d_0_01)))</f>
        <v>0</v>
      </c>
      <c r="AE91" s="333" cm="1">
        <f t="array" ref="AE91">IF(('Tillegg- Inndata GoF'!G89) = 0, 0,-0.8*('Tillegg- Inndata GoF'!G89)*AH91*('Tillegg- Inndata GoF'!E89/'Tillegg- Inndata GoF'!G89)*_xlfn.XLOOKUP(51, År_etter_ferdigstillelse,  IF(LEFT('Tillegg- Inndata GoF'!B89, 2)= 49, f_tid_x_f_tek_d_0_037, f_tid_x_f_tek_d_0_01)))</f>
        <v>0</v>
      </c>
      <c r="AF91" s="338" cm="1">
        <f t="array" ref="AF91">IF(('Tillegg- Inndata GoF'!G89) = 0, 0,-0.1*('Tillegg- Inndata GoF'!G89)*AI91*('Tillegg- Inndata GoF'!E89/'Tillegg- Inndata GoF'!G89)*_xlfn.XLOOKUP(51, År_etter_ferdigstillelse,  IF(LEFT('Tillegg- Inndata GoF'!B89, 2)= 49, f_tid_x_f_tek_d_0_037, f_tid_x_f_tek_d_0_01)))</f>
        <v>0</v>
      </c>
      <c r="AG91" s="572">
        <f>IF(('Tillegg- Inndata GoF'!G89) = 0, 0,'Tillegg- Inndata GoF'!X89*Faktorer!$Z$58)</f>
        <v>0</v>
      </c>
      <c r="AH91" s="573">
        <f>IF(('Tillegg- Inndata GoF'!G89) = 0, 0,'Tillegg- Inndata GoF'!Z89+('Tillegg- Inndata GoF'!X89+'Tillegg- Inndata GoF'!Y89)*(1-Faktorer!$Z$58)*0.5)</f>
        <v>0</v>
      </c>
      <c r="AI91" s="574">
        <f>IF(('Tillegg- Inndata GoF'!G89) = 0, 0,'Tillegg- Inndata GoF'!AA89+('Tillegg- Inndata GoF'!X89+'Tillegg- Inndata GoF'!Y89)*(1-Faktorer!$Z$58)*0.5)</f>
        <v>0</v>
      </c>
      <c r="AK91" s="90">
        <f t="shared" si="2"/>
        <v>0</v>
      </c>
      <c r="AL91" s="91">
        <f>'Tillegg- Res. detaljert GoF'!N91</f>
        <v>0</v>
      </c>
      <c r="AM91" s="91" t="str">
        <f>IF(F91=0,"",('Tillegg- Inndata GoF'!E91+'Tillegg- Inndata GoF'!F91)*ROUNDDOWN('Tillegg- Inndata GoF'!I91,0)*(1+'Tillegg- Inndata GoF'!K91))</f>
        <v/>
      </c>
    </row>
    <row r="92" spans="2:39">
      <c r="B92" s="327">
        <f>'Tillegg- Inndata GoF'!B90</f>
        <v>0</v>
      </c>
      <c r="C92" s="328">
        <f>'Tillegg- Inndata GoF'!C90</f>
        <v>0</v>
      </c>
      <c r="D92" s="329">
        <f>'Tillegg- Inndata GoF'!D90</f>
        <v>0</v>
      </c>
      <c r="E92" s="661" cm="1">
        <f t="array" ref="E92">SUM(IFERROR(F92:AF92,0))</f>
        <v>0</v>
      </c>
      <c r="F92" s="330">
        <f>'Tillegg- Inndata GoF'!E90</f>
        <v>0</v>
      </c>
      <c r="G92" s="330">
        <f>IF('Tillegg- Inndata GoF'!AB90="Ja", -0.8*'Tillegg- Res. detaljert GoF'!$F92, 0)</f>
        <v>0</v>
      </c>
      <c r="H92" s="330">
        <f>IF('Tillegg- Inndata GoF'!AC90="Ja", -0.4*'Tillegg- Res. detaljert GoF'!$F92, 0)</f>
        <v>0</v>
      </c>
      <c r="I92" s="330">
        <f>IF('Tillegg- Inndata GoF'!AD90="Ja", -1*'Tillegg- Res. detaljert GoF'!$F92, 0)</f>
        <v>0</v>
      </c>
      <c r="J92" s="330">
        <f>'Tillegg- Inndata GoF'!O90*'Tillegg- Inndata GoF'!P90</f>
        <v>0</v>
      </c>
      <c r="K92" s="330">
        <f>MAX(-0.75*(SUM('Tillegg- Res. detaljert GoF'!F92:J92)),-'Tillegg- Inndata GoF'!O90*'Tillegg- Inndata GoF'!Q90)</f>
        <v>0</v>
      </c>
      <c r="L92" s="330">
        <f>'Tillegg- Inndata GoF'!S90*'Tillegg- Inndata GoF'!T90</f>
        <v>0</v>
      </c>
      <c r="M92" s="330">
        <f>MAX(-0.75*(SUM('Tillegg- Res. detaljert GoF'!F92:I92,L92)),-'Tillegg- Inndata GoF'!S90*'Tillegg- Inndata GoF'!U90)</f>
        <v>0</v>
      </c>
      <c r="N92" s="331">
        <f>'Tillegg- Inndata GoF'!F90</f>
        <v>0</v>
      </c>
      <c r="O92" s="330">
        <f>'Tillegg- Inndata GoF'!O90*'Tillegg- Inndata GoF'!R90</f>
        <v>0</v>
      </c>
      <c r="P92" s="332">
        <f>'Tillegg- Inndata GoF'!S90*'Tillegg- Inndata GoF'!V90</f>
        <v>0</v>
      </c>
      <c r="Q92" s="333">
        <f>SUM(F92:J92,L92)*'Tillegg- Inndata GoF'!K90</f>
        <v>0</v>
      </c>
      <c r="R92" s="333">
        <f>(K92+M92)*'Tillegg- Inndata GoF'!K90</f>
        <v>0</v>
      </c>
      <c r="S92" s="333">
        <f>SUM(N92:P92)*'Tillegg- Inndata GoF'!K90</f>
        <v>0</v>
      </c>
      <c r="T92" s="334">
        <f>('Tillegg- Inndata GoF'!G90+'Tillegg- Inndata GoF'!O90+'Tillegg- Inndata GoF'!S90)*'Tillegg- Inndata GoF'!K90*Transport_utslipp_til_avfallshånderting_per_kg</f>
        <v>0</v>
      </c>
      <c r="U92" s="330">
        <f>IF('Tillegg- Inndata GoF'!E90 = 0, 0, 1.833*'Tillegg- Inndata GoF'!X90*'Tillegg- Inndata GoF'!K90*('Tillegg- Inndata GoF'!G90*('Tillegg- Inndata GoF'!L90*0.5+'Tillegg- Inndata GoF'!M90*0.8) + (12/44)*('Tillegg- Inndata GoF'!O90*'Tillegg- Inndata GoF'!Q90+'Tillegg- Inndata GoF'!S90*'Tillegg- Inndata GoF'!U90)))</f>
        <v>0</v>
      </c>
      <c r="V92" s="335">
        <f>IF('Tillegg- Inndata GoF'!G90 = 0, 0,  MAX(-SUM(F92:J92,L92)*'Tillegg- Inndata GoF'!L90, -0.114*IF('Tillegg- Inndata GoF'!H90 &gt; 49, _xlfn.XLOOKUP(49, År_etter_ferdigstillelse, karbon_opptak_faktor), _xlfn.XLOOKUP('Tillegg- Inndata GoF'!H90, År_etter_ferdigstillelse, karbon_opptak_faktor))*'Tillegg- Inndata GoF'!G90*'Tillegg- Inndata GoF'!L90*0.5))</f>
        <v>0</v>
      </c>
      <c r="W92" s="333">
        <f>IF('Tillegg- Inndata GoF'!G90=0,0,IF('Tillegg- Inndata GoF'!H90&gt;49,-0.064*'Tillegg- Inndata GoF'!G90*'Tillegg- Inndata GoF'!N90,-0.037*'Tillegg- Inndata GoF'!J90*'Tillegg- Inndata GoF'!N90))</f>
        <v>0</v>
      </c>
      <c r="X92" s="331" cm="1">
        <f t="array" ref="X92">IF(SUM(F92:J92,L92)=0, 0, SUM(F92:J92,L92)*(1+'Tillegg-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Y92" s="330" cm="1">
        <f t="array" ref="Y92">IF(X92=0, 0, SUM(K92,M92)*(1+'Tillegg-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Z92" s="336" cm="1">
        <f t="array" ref="Z92">IF(X92=0, 0, SUM(N92:P92)*(1+'Tillegg-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AA92" s="336" cm="1">
        <f t="array" ref="AA92">IF(X92=0, 0, ('Tillegg- Inndata GoF'!G90+'Tillegg- Inndata GoF'!O90+'Tillegg- Inndata GoF'!S90)*(1+'Tillegg- Inndata GoF'!K90)*Transport_utslipp_til_avfallshånderting_per_kg*IF('Tillegg- Inndata GoF'!H90&gt;50, 0, _xlfn.XLOOKUP('Tillegg- Inndata GoF'!H90, År_etter_ferdigstillelse, IF(VALUE(LEFT('Tillegg- Inndata GoF'!B90, 2))= 49, f_tid_x_f_tek_d_0_037_kumulativ, f_tid_x_f_tek_d_0_01_kumulativ))))</f>
        <v>0</v>
      </c>
      <c r="AB92" s="334" cm="1">
        <f t="array" ref="AB92">IF(X92=0, 0,1.833*'Tillegg- Inndata GoF'!J90*('Tillegg- Inndata GoF'!X90*_xlfn.XLOOKUP(IF('Tillegg- Inndata GoF'!I90&lt;2,'Tillegg- Inndata GoF'!H90,'Tillegg- Inndata GoF'!H90*2), År_etter_ferdigstillelse, Faktorer!$Z$7:$Z$58))*('Tillegg- Inndata GoF'!L90*0.5+'Tillegg- Inndata GoF'!M90*0.8)*_xlfn.XLOOKUP(IF('Tillegg- Inndata GoF'!I90&lt;2,'Tillegg- Inndata GoF'!H90,'Tillegg- Inndata GoF'!H90*2), År_etter_ferdigstillelse,  IF(LEFT('Tillegg- Inndata GoF'!B90, 2)= 49, f_tid_x_f_tek_d_0_037, f_tid_x_f_tek_d_0_01)))</f>
        <v>0</v>
      </c>
      <c r="AC92" s="335">
        <f>IF(('Tillegg- Inndata GoF'!G90) = 0, 0,(('Tillegg- Inndata GoF'!G90)*((AG92+AI92)*Transport_utslipp_til_avfallshånderting_per_kg)+('Tillegg- Inndata GoF'!Z90*'ZERO-B Beregning'!D192)*IF('ZERO-B Beregning'!F193=0,'ZERO-B Beregning'!D193,'ZERO-B Beregning'!F193))*_xlfn.XLOOKUP(51, År_etter_ferdigstillelse, f_tid_x_f_tek_d_0_01))</f>
        <v>0</v>
      </c>
      <c r="AD92" s="337">
        <f>IF(('Tillegg- Inndata GoF'!G90) = 0, 0,1.833*('Tillegg- Inndata GoF'!G90*('Tillegg- Inndata GoF'!L90*0.5+'Tillegg- Inndata GoF'!M90*0.8)*AG92*_xlfn.XLOOKUP(51, År_etter_ferdigstillelse,  f_tid_x_f_tek_d_0_01)))</f>
        <v>0</v>
      </c>
      <c r="AE92" s="333" cm="1">
        <f t="array" ref="AE92">IF(('Tillegg- Inndata GoF'!G90) = 0, 0,-0.8*('Tillegg- Inndata GoF'!G90)*AH92*('Tillegg- Inndata GoF'!E90/'Tillegg- Inndata GoF'!G90)*_xlfn.XLOOKUP(51, År_etter_ferdigstillelse,  IF(LEFT('Tillegg- Inndata GoF'!B90, 2)= 49, f_tid_x_f_tek_d_0_037, f_tid_x_f_tek_d_0_01)))</f>
        <v>0</v>
      </c>
      <c r="AF92" s="338" cm="1">
        <f t="array" ref="AF92">IF(('Tillegg- Inndata GoF'!G90) = 0, 0,-0.1*('Tillegg- Inndata GoF'!G90)*AI92*('Tillegg- Inndata GoF'!E90/'Tillegg- Inndata GoF'!G90)*_xlfn.XLOOKUP(51, År_etter_ferdigstillelse,  IF(LEFT('Tillegg- Inndata GoF'!B90, 2)= 49, f_tid_x_f_tek_d_0_037, f_tid_x_f_tek_d_0_01)))</f>
        <v>0</v>
      </c>
      <c r="AG92" s="572">
        <f>IF(('Tillegg- Inndata GoF'!G90) = 0, 0,'Tillegg- Inndata GoF'!X90*Faktorer!$Z$58)</f>
        <v>0</v>
      </c>
      <c r="AH92" s="573">
        <f>IF(('Tillegg- Inndata GoF'!G90) = 0, 0,'Tillegg- Inndata GoF'!Z90+('Tillegg- Inndata GoF'!X90+'Tillegg- Inndata GoF'!Y90)*(1-Faktorer!$Z$58)*0.5)</f>
        <v>0</v>
      </c>
      <c r="AI92" s="574">
        <f>IF(('Tillegg- Inndata GoF'!G90) = 0, 0,'Tillegg- Inndata GoF'!AA90+('Tillegg- Inndata GoF'!X90+'Tillegg- Inndata GoF'!Y90)*(1-Faktorer!$Z$58)*0.5)</f>
        <v>0</v>
      </c>
      <c r="AK92" s="90">
        <f t="shared" si="2"/>
        <v>0</v>
      </c>
      <c r="AL92" s="91">
        <f>'Tillegg- Res. detaljert GoF'!N92</f>
        <v>0</v>
      </c>
      <c r="AM92" s="91" t="str">
        <f>IF(F92=0,"",('Tillegg- Inndata GoF'!E92+'Tillegg- Inndata GoF'!F92)*ROUNDDOWN('Tillegg- Inndata GoF'!I92,0)*(1+'Tillegg- Inndata GoF'!K92))</f>
        <v/>
      </c>
    </row>
    <row r="93" spans="2:39">
      <c r="B93" s="327">
        <f>'Tillegg- Inndata GoF'!B91</f>
        <v>0</v>
      </c>
      <c r="C93" s="328">
        <f>'Tillegg- Inndata GoF'!C91</f>
        <v>0</v>
      </c>
      <c r="D93" s="329">
        <f>'Tillegg- Inndata GoF'!D91</f>
        <v>0</v>
      </c>
      <c r="E93" s="661" cm="1">
        <f t="array" ref="E93">SUM(IFERROR(F93:AF93,0))</f>
        <v>0</v>
      </c>
      <c r="F93" s="330">
        <f>'Tillegg- Inndata GoF'!E91</f>
        <v>0</v>
      </c>
      <c r="G93" s="330">
        <f>IF('Tillegg- Inndata GoF'!AB91="Ja", -0.8*'Tillegg- Res. detaljert GoF'!$F93, 0)</f>
        <v>0</v>
      </c>
      <c r="H93" s="330">
        <f>IF('Tillegg- Inndata GoF'!AC91="Ja", -0.4*'Tillegg- Res. detaljert GoF'!$F93, 0)</f>
        <v>0</v>
      </c>
      <c r="I93" s="330">
        <f>IF('Tillegg- Inndata GoF'!AD91="Ja", -1*'Tillegg- Res. detaljert GoF'!$F93, 0)</f>
        <v>0</v>
      </c>
      <c r="J93" s="330">
        <f>'Tillegg- Inndata GoF'!O91*'Tillegg- Inndata GoF'!P91</f>
        <v>0</v>
      </c>
      <c r="K93" s="330">
        <f>MAX(-0.75*(SUM('Tillegg- Res. detaljert GoF'!F93:J93)),-'Tillegg- Inndata GoF'!O91*'Tillegg- Inndata GoF'!Q91)</f>
        <v>0</v>
      </c>
      <c r="L93" s="330">
        <f>'Tillegg- Inndata GoF'!S91*'Tillegg- Inndata GoF'!T91</f>
        <v>0</v>
      </c>
      <c r="M93" s="330">
        <f>MAX(-0.75*(SUM('Tillegg- Res. detaljert GoF'!F93:I93,L93)),-'Tillegg- Inndata GoF'!S91*'Tillegg- Inndata GoF'!U91)</f>
        <v>0</v>
      </c>
      <c r="N93" s="331">
        <f>'Tillegg- Inndata GoF'!F91</f>
        <v>0</v>
      </c>
      <c r="O93" s="330">
        <f>'Tillegg- Inndata GoF'!O91*'Tillegg- Inndata GoF'!R91</f>
        <v>0</v>
      </c>
      <c r="P93" s="332">
        <f>'Tillegg- Inndata GoF'!S91*'Tillegg- Inndata GoF'!V91</f>
        <v>0</v>
      </c>
      <c r="Q93" s="333">
        <f>SUM(F93:J93,L93)*'Tillegg- Inndata GoF'!K91</f>
        <v>0</v>
      </c>
      <c r="R93" s="333">
        <f>(K93+M93)*'Tillegg- Inndata GoF'!K91</f>
        <v>0</v>
      </c>
      <c r="S93" s="333">
        <f>SUM(N93:P93)*'Tillegg- Inndata GoF'!K91</f>
        <v>0</v>
      </c>
      <c r="T93" s="334">
        <f>('Tillegg- Inndata GoF'!G91+'Tillegg- Inndata GoF'!O91+'Tillegg- Inndata GoF'!S91)*'Tillegg- Inndata GoF'!K91*Transport_utslipp_til_avfallshånderting_per_kg</f>
        <v>0</v>
      </c>
      <c r="U93" s="330">
        <f>IF('Tillegg- Inndata GoF'!E91 = 0, 0, 1.833*'Tillegg- Inndata GoF'!X91*'Tillegg- Inndata GoF'!K91*('Tillegg- Inndata GoF'!G91*('Tillegg- Inndata GoF'!L91*0.5+'Tillegg- Inndata GoF'!M91*0.8) + (12/44)*('Tillegg- Inndata GoF'!O91*'Tillegg- Inndata GoF'!Q91+'Tillegg- Inndata GoF'!S91*'Tillegg- Inndata GoF'!U91)))</f>
        <v>0</v>
      </c>
      <c r="V93" s="335">
        <f>IF('Tillegg- Inndata GoF'!G91 = 0, 0,  MAX(-SUM(F93:J93,L93)*'Tillegg- Inndata GoF'!L91, -0.114*IF('Tillegg- Inndata GoF'!H91 &gt; 49, _xlfn.XLOOKUP(49, År_etter_ferdigstillelse, karbon_opptak_faktor), _xlfn.XLOOKUP('Tillegg- Inndata GoF'!H91, År_etter_ferdigstillelse, karbon_opptak_faktor))*'Tillegg- Inndata GoF'!G91*'Tillegg- Inndata GoF'!L91*0.5))</f>
        <v>0</v>
      </c>
      <c r="W93" s="333">
        <f>IF('Tillegg- Inndata GoF'!G91=0,0,IF('Tillegg- Inndata GoF'!H91&gt;49,-0.064*'Tillegg- Inndata GoF'!G91*'Tillegg- Inndata GoF'!N91,-0.037*'Tillegg- Inndata GoF'!J91*'Tillegg- Inndata GoF'!N91))</f>
        <v>0</v>
      </c>
      <c r="X93" s="331" cm="1">
        <f t="array" ref="X93">IF(SUM(F93:J93,L93)=0, 0, SUM(F93:J93,L93)*(1+'Tillegg-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Y93" s="330" cm="1">
        <f t="array" ref="Y93">IF(X93=0, 0, SUM(K93,M93)*(1+'Tillegg-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Z93" s="336" cm="1">
        <f t="array" ref="Z93">IF(X93=0, 0, SUM(N93:P93)*(1+'Tillegg-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AA93" s="336" cm="1">
        <f t="array" ref="AA93">IF(X93=0, 0, ('Tillegg- Inndata GoF'!G91+'Tillegg- Inndata GoF'!O91+'Tillegg- Inndata GoF'!S91)*(1+'Tillegg- Inndata GoF'!K91)*Transport_utslipp_til_avfallshånderting_per_kg*IF('Tillegg- Inndata GoF'!H91&gt;50, 0, _xlfn.XLOOKUP('Tillegg- Inndata GoF'!H91, År_etter_ferdigstillelse, IF(VALUE(LEFT('Tillegg- Inndata GoF'!B91, 2))= 49, f_tid_x_f_tek_d_0_037_kumulativ, f_tid_x_f_tek_d_0_01_kumulativ))))</f>
        <v>0</v>
      </c>
      <c r="AB93" s="334" cm="1">
        <f t="array" ref="AB93">IF(X93=0, 0,1.833*'Tillegg- Inndata GoF'!J91*('Tillegg- Inndata GoF'!X91*_xlfn.XLOOKUP(IF('Tillegg- Inndata GoF'!I91&lt;2,'Tillegg- Inndata GoF'!H91,'Tillegg- Inndata GoF'!H91*2), År_etter_ferdigstillelse, Faktorer!$Z$7:$Z$58))*('Tillegg- Inndata GoF'!L91*0.5+'Tillegg- Inndata GoF'!M91*0.8)*_xlfn.XLOOKUP(IF('Tillegg- Inndata GoF'!I91&lt;2,'Tillegg- Inndata GoF'!H91,'Tillegg- Inndata GoF'!H91*2), År_etter_ferdigstillelse,  IF(LEFT('Tillegg- Inndata GoF'!B91, 2)= 49, f_tid_x_f_tek_d_0_037, f_tid_x_f_tek_d_0_01)))</f>
        <v>0</v>
      </c>
      <c r="AC93" s="335">
        <f>IF(('Tillegg- Inndata GoF'!G91) = 0, 0,(('Tillegg- Inndata GoF'!G91)*((AG93+AI93)*Transport_utslipp_til_avfallshånderting_per_kg)+('Tillegg- Inndata GoF'!Z91*'ZERO-B Beregning'!D193)*IF('ZERO-B Beregning'!F194=0,'ZERO-B Beregning'!D194,'ZERO-B Beregning'!F194))*_xlfn.XLOOKUP(51, År_etter_ferdigstillelse, f_tid_x_f_tek_d_0_01))</f>
        <v>0</v>
      </c>
      <c r="AD93" s="337">
        <f>IF(('Tillegg- Inndata GoF'!G91) = 0, 0,1.833*('Tillegg- Inndata GoF'!G91*('Tillegg- Inndata GoF'!L91*0.5+'Tillegg- Inndata GoF'!M91*0.8)*AG93*_xlfn.XLOOKUP(51, År_etter_ferdigstillelse,  f_tid_x_f_tek_d_0_01)))</f>
        <v>0</v>
      </c>
      <c r="AE93" s="333" cm="1">
        <f t="array" ref="AE93">IF(('Tillegg- Inndata GoF'!G91) = 0, 0,-0.8*('Tillegg- Inndata GoF'!G91)*AH93*('Tillegg- Inndata GoF'!E91/'Tillegg- Inndata GoF'!G91)*_xlfn.XLOOKUP(51, År_etter_ferdigstillelse,  IF(LEFT('Tillegg- Inndata GoF'!B91, 2)= 49, f_tid_x_f_tek_d_0_037, f_tid_x_f_tek_d_0_01)))</f>
        <v>0</v>
      </c>
      <c r="AF93" s="338" cm="1">
        <f t="array" ref="AF93">IF(('Tillegg- Inndata GoF'!G91) = 0, 0,-0.1*('Tillegg- Inndata GoF'!G91)*AI93*('Tillegg- Inndata GoF'!E91/'Tillegg- Inndata GoF'!G91)*_xlfn.XLOOKUP(51, År_etter_ferdigstillelse,  IF(LEFT('Tillegg- Inndata GoF'!B91, 2)= 49, f_tid_x_f_tek_d_0_037, f_tid_x_f_tek_d_0_01)))</f>
        <v>0</v>
      </c>
      <c r="AG93" s="572">
        <f>IF(('Tillegg- Inndata GoF'!G91) = 0, 0,'Tillegg- Inndata GoF'!X91*Faktorer!$Z$58)</f>
        <v>0</v>
      </c>
      <c r="AH93" s="573">
        <f>IF(('Tillegg- Inndata GoF'!G91) = 0, 0,'Tillegg- Inndata GoF'!Z91+('Tillegg- Inndata GoF'!X91+'Tillegg- Inndata GoF'!Y91)*(1-Faktorer!$Z$58)*0.5)</f>
        <v>0</v>
      </c>
      <c r="AI93" s="574">
        <f>IF(('Tillegg- Inndata GoF'!G91) = 0, 0,'Tillegg- Inndata GoF'!AA91+('Tillegg- Inndata GoF'!X91+'Tillegg- Inndata GoF'!Y91)*(1-Faktorer!$Z$58)*0.5)</f>
        <v>0</v>
      </c>
      <c r="AK93" s="90">
        <f t="shared" si="2"/>
        <v>0</v>
      </c>
      <c r="AL93" s="91">
        <f>'Tillegg- Res. detaljert GoF'!N93</f>
        <v>0</v>
      </c>
      <c r="AM93" s="91" t="str">
        <f>IF(F93=0,"",('Tillegg- Inndata GoF'!E93+'Tillegg- Inndata GoF'!F93)*ROUNDDOWN('Tillegg- Inndata GoF'!I93,0)*(1+'Tillegg- Inndata GoF'!K93))</f>
        <v/>
      </c>
    </row>
    <row r="94" spans="2:39">
      <c r="B94" s="327">
        <f>'Tillegg- Inndata GoF'!B92</f>
        <v>0</v>
      </c>
      <c r="C94" s="328">
        <f>'Tillegg- Inndata GoF'!C92</f>
        <v>0</v>
      </c>
      <c r="D94" s="329">
        <f>'Tillegg- Inndata GoF'!D92</f>
        <v>0</v>
      </c>
      <c r="E94" s="661" cm="1">
        <f t="array" ref="E94">SUM(IFERROR(F94:AF94,0))</f>
        <v>0</v>
      </c>
      <c r="F94" s="330">
        <f>'Tillegg- Inndata GoF'!E92</f>
        <v>0</v>
      </c>
      <c r="G94" s="330">
        <f>IF('Tillegg- Inndata GoF'!AB92="Ja", -0.8*'Tillegg- Res. detaljert GoF'!$F94, 0)</f>
        <v>0</v>
      </c>
      <c r="H94" s="330">
        <f>IF('Tillegg- Inndata GoF'!AC92="Ja", -0.4*'Tillegg- Res. detaljert GoF'!$F94, 0)</f>
        <v>0</v>
      </c>
      <c r="I94" s="330">
        <f>IF('Tillegg- Inndata GoF'!AD92="Ja", -1*'Tillegg- Res. detaljert GoF'!$F94, 0)</f>
        <v>0</v>
      </c>
      <c r="J94" s="330">
        <f>'Tillegg- Inndata GoF'!O92*'Tillegg- Inndata GoF'!P92</f>
        <v>0</v>
      </c>
      <c r="K94" s="330">
        <f>MAX(-0.75*(SUM('Tillegg- Res. detaljert GoF'!F94:J94)),-'Tillegg- Inndata GoF'!O92*'Tillegg- Inndata GoF'!Q92)</f>
        <v>0</v>
      </c>
      <c r="L94" s="330">
        <f>'Tillegg- Inndata GoF'!S92*'Tillegg- Inndata GoF'!T92</f>
        <v>0</v>
      </c>
      <c r="M94" s="330">
        <f>MAX(-0.75*(SUM('Tillegg- Res. detaljert GoF'!F94:I94,L94)),-'Tillegg- Inndata GoF'!S92*'Tillegg- Inndata GoF'!U92)</f>
        <v>0</v>
      </c>
      <c r="N94" s="331">
        <f>'Tillegg- Inndata GoF'!F92</f>
        <v>0</v>
      </c>
      <c r="O94" s="330">
        <f>'Tillegg- Inndata GoF'!O92*'Tillegg- Inndata GoF'!R92</f>
        <v>0</v>
      </c>
      <c r="P94" s="332">
        <f>'Tillegg- Inndata GoF'!S92*'Tillegg- Inndata GoF'!V92</f>
        <v>0</v>
      </c>
      <c r="Q94" s="333">
        <f>SUM(F94:J94,L94)*'Tillegg- Inndata GoF'!K92</f>
        <v>0</v>
      </c>
      <c r="R94" s="333">
        <f>(K94+M94)*'Tillegg- Inndata GoF'!K92</f>
        <v>0</v>
      </c>
      <c r="S94" s="333">
        <f>SUM(N94:P94)*'Tillegg- Inndata GoF'!K92</f>
        <v>0</v>
      </c>
      <c r="T94" s="334">
        <f>('Tillegg- Inndata GoF'!G92+'Tillegg- Inndata GoF'!O92+'Tillegg- Inndata GoF'!S92)*'Tillegg- Inndata GoF'!K92*Transport_utslipp_til_avfallshånderting_per_kg</f>
        <v>0</v>
      </c>
      <c r="U94" s="330">
        <f>IF('Tillegg- Inndata GoF'!E92 = 0, 0, 1.833*'Tillegg- Inndata GoF'!X92*'Tillegg- Inndata GoF'!K92*('Tillegg- Inndata GoF'!G92*('Tillegg- Inndata GoF'!L92*0.5+'Tillegg- Inndata GoF'!M92*0.8) + (12/44)*('Tillegg- Inndata GoF'!O92*'Tillegg- Inndata GoF'!Q92+'Tillegg- Inndata GoF'!S92*'Tillegg- Inndata GoF'!U92)))</f>
        <v>0</v>
      </c>
      <c r="V94" s="335">
        <f>IF('Tillegg- Inndata GoF'!G92 = 0, 0,  MAX(-SUM(F94:J94,L94)*'Tillegg- Inndata GoF'!L92, -0.114*IF('Tillegg- Inndata GoF'!H92 &gt; 49, _xlfn.XLOOKUP(49, År_etter_ferdigstillelse, karbon_opptak_faktor), _xlfn.XLOOKUP('Tillegg- Inndata GoF'!H92, År_etter_ferdigstillelse, karbon_opptak_faktor))*'Tillegg- Inndata GoF'!G92*'Tillegg- Inndata GoF'!L92*0.5))</f>
        <v>0</v>
      </c>
      <c r="W94" s="333">
        <f>IF('Tillegg- Inndata GoF'!G92=0,0,IF('Tillegg- Inndata GoF'!H92&gt;49,-0.064*'Tillegg- Inndata GoF'!G92*'Tillegg- Inndata GoF'!N92,-0.037*'Tillegg- Inndata GoF'!J92*'Tillegg- Inndata GoF'!N92))</f>
        <v>0</v>
      </c>
      <c r="X94" s="331" cm="1">
        <f t="array" ref="X94">IF(SUM(F94:J94,L94)=0, 0, SUM(F94:J94,L94)*(1+'Tillegg-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Y94" s="330" cm="1">
        <f t="array" ref="Y94">IF(X94=0, 0, SUM(K94,M94)*(1+'Tillegg-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Z94" s="336" cm="1">
        <f t="array" ref="Z94">IF(X94=0, 0, SUM(N94:P94)*(1+'Tillegg-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AA94" s="336" cm="1">
        <f t="array" ref="AA94">IF(X94=0, 0, ('Tillegg- Inndata GoF'!G92+'Tillegg- Inndata GoF'!O92+'Tillegg- Inndata GoF'!S92)*(1+'Tillegg- Inndata GoF'!K92)*Transport_utslipp_til_avfallshånderting_per_kg*IF('Tillegg- Inndata GoF'!H92&gt;50, 0, _xlfn.XLOOKUP('Tillegg- Inndata GoF'!H92, År_etter_ferdigstillelse, IF(VALUE(LEFT('Tillegg- Inndata GoF'!B92, 2))= 49, f_tid_x_f_tek_d_0_037_kumulativ, f_tid_x_f_tek_d_0_01_kumulativ))))</f>
        <v>0</v>
      </c>
      <c r="AB94" s="334" cm="1">
        <f t="array" ref="AB94">IF(X94=0, 0,1.833*'Tillegg- Inndata GoF'!J92*('Tillegg- Inndata GoF'!X92*_xlfn.XLOOKUP(IF('Tillegg- Inndata GoF'!I92&lt;2,'Tillegg- Inndata GoF'!H92,'Tillegg- Inndata GoF'!H92*2), År_etter_ferdigstillelse, Faktorer!$Z$7:$Z$58))*('Tillegg- Inndata GoF'!L92*0.5+'Tillegg- Inndata GoF'!M92*0.8)*_xlfn.XLOOKUP(IF('Tillegg- Inndata GoF'!I92&lt;2,'Tillegg- Inndata GoF'!H92,'Tillegg- Inndata GoF'!H92*2), År_etter_ferdigstillelse,  IF(LEFT('Tillegg- Inndata GoF'!B92, 2)= 49, f_tid_x_f_tek_d_0_037, f_tid_x_f_tek_d_0_01)))</f>
        <v>0</v>
      </c>
      <c r="AC94" s="335">
        <f>IF(('Tillegg- Inndata GoF'!G92) = 0, 0,(('Tillegg- Inndata GoF'!G92)*((AG94+AI94)*Transport_utslipp_til_avfallshånderting_per_kg)+('Tillegg- Inndata GoF'!Z92*'ZERO-B Beregning'!D194)*IF('ZERO-B Beregning'!F195=0,'ZERO-B Beregning'!D195,'ZERO-B Beregning'!F195))*_xlfn.XLOOKUP(51, År_etter_ferdigstillelse, f_tid_x_f_tek_d_0_01))</f>
        <v>0</v>
      </c>
      <c r="AD94" s="337">
        <f>IF(('Tillegg- Inndata GoF'!G92) = 0, 0,1.833*('Tillegg- Inndata GoF'!G92*('Tillegg- Inndata GoF'!L92*0.5+'Tillegg- Inndata GoF'!M92*0.8)*AG94*_xlfn.XLOOKUP(51, År_etter_ferdigstillelse,  f_tid_x_f_tek_d_0_01)))</f>
        <v>0</v>
      </c>
      <c r="AE94" s="333" cm="1">
        <f t="array" ref="AE94">IF(('Tillegg- Inndata GoF'!G92) = 0, 0,-0.8*('Tillegg- Inndata GoF'!G92)*AH94*('Tillegg- Inndata GoF'!E92/'Tillegg- Inndata GoF'!G92)*_xlfn.XLOOKUP(51, År_etter_ferdigstillelse,  IF(LEFT('Tillegg- Inndata GoF'!B92, 2)= 49, f_tid_x_f_tek_d_0_037, f_tid_x_f_tek_d_0_01)))</f>
        <v>0</v>
      </c>
      <c r="AF94" s="338" cm="1">
        <f t="array" ref="AF94">IF(('Tillegg- Inndata GoF'!G92) = 0, 0,-0.1*('Tillegg- Inndata GoF'!G92)*AI94*('Tillegg- Inndata GoF'!E92/'Tillegg- Inndata GoF'!G92)*_xlfn.XLOOKUP(51, År_etter_ferdigstillelse,  IF(LEFT('Tillegg- Inndata GoF'!B92, 2)= 49, f_tid_x_f_tek_d_0_037, f_tid_x_f_tek_d_0_01)))</f>
        <v>0</v>
      </c>
      <c r="AG94" s="572">
        <f>IF(('Tillegg- Inndata GoF'!G92) = 0, 0,'Tillegg- Inndata GoF'!X92*Faktorer!$Z$58)</f>
        <v>0</v>
      </c>
      <c r="AH94" s="573">
        <f>IF(('Tillegg- Inndata GoF'!G92) = 0, 0,'Tillegg- Inndata GoF'!Z92+('Tillegg- Inndata GoF'!X92+'Tillegg- Inndata GoF'!Y92)*(1-Faktorer!$Z$58)*0.5)</f>
        <v>0</v>
      </c>
      <c r="AI94" s="574">
        <f>IF(('Tillegg- Inndata GoF'!G92) = 0, 0,'Tillegg- Inndata GoF'!AA92+('Tillegg- Inndata GoF'!X92+'Tillegg- Inndata GoF'!Y92)*(1-Faktorer!$Z$58)*0.5)</f>
        <v>0</v>
      </c>
      <c r="AK94" s="90">
        <f t="shared" si="2"/>
        <v>0</v>
      </c>
      <c r="AL94" s="91">
        <f>'Tillegg- Res. detaljert GoF'!N94</f>
        <v>0</v>
      </c>
      <c r="AM94" s="91" t="str">
        <f>IF(F94=0,"",('Tillegg- Inndata GoF'!E94+'Tillegg- Inndata GoF'!F94)*ROUNDDOWN('Tillegg- Inndata GoF'!I94,0)*(1+'Tillegg- Inndata GoF'!K94))</f>
        <v/>
      </c>
    </row>
    <row r="95" spans="2:39">
      <c r="B95" s="327">
        <f>'Tillegg- Inndata GoF'!B93</f>
        <v>0</v>
      </c>
      <c r="C95" s="328">
        <f>'Tillegg- Inndata GoF'!C93</f>
        <v>0</v>
      </c>
      <c r="D95" s="329">
        <f>'Tillegg- Inndata GoF'!D93</f>
        <v>0</v>
      </c>
      <c r="E95" s="661" cm="1">
        <f t="array" ref="E95">SUM(IFERROR(F95:AF95,0))</f>
        <v>0</v>
      </c>
      <c r="F95" s="330">
        <f>'Tillegg- Inndata GoF'!E93</f>
        <v>0</v>
      </c>
      <c r="G95" s="330">
        <f>IF('Tillegg- Inndata GoF'!AB93="Ja", -0.8*'Tillegg- Res. detaljert GoF'!$F95, 0)</f>
        <v>0</v>
      </c>
      <c r="H95" s="330">
        <f>IF('Tillegg- Inndata GoF'!AC93="Ja", -0.4*'Tillegg- Res. detaljert GoF'!$F95, 0)</f>
        <v>0</v>
      </c>
      <c r="I95" s="330">
        <f>IF('Tillegg- Inndata GoF'!AD93="Ja", -1*'Tillegg- Res. detaljert GoF'!$F95, 0)</f>
        <v>0</v>
      </c>
      <c r="J95" s="330">
        <f>'Tillegg- Inndata GoF'!O93*'Tillegg- Inndata GoF'!P93</f>
        <v>0</v>
      </c>
      <c r="K95" s="330">
        <f>MAX(-0.75*(SUM('Tillegg- Res. detaljert GoF'!F95:J95)),-'Tillegg- Inndata GoF'!O93*'Tillegg- Inndata GoF'!Q93)</f>
        <v>0</v>
      </c>
      <c r="L95" s="330">
        <f>'Tillegg- Inndata GoF'!S93*'Tillegg- Inndata GoF'!T93</f>
        <v>0</v>
      </c>
      <c r="M95" s="330">
        <f>MAX(-0.75*(SUM('Tillegg- Res. detaljert GoF'!F95:I95,L95)),-'Tillegg- Inndata GoF'!S93*'Tillegg- Inndata GoF'!U93)</f>
        <v>0</v>
      </c>
      <c r="N95" s="331">
        <f>'Tillegg- Inndata GoF'!F93</f>
        <v>0</v>
      </c>
      <c r="O95" s="330">
        <f>'Tillegg- Inndata GoF'!O93*'Tillegg- Inndata GoF'!R93</f>
        <v>0</v>
      </c>
      <c r="P95" s="332">
        <f>'Tillegg- Inndata GoF'!S93*'Tillegg- Inndata GoF'!V93</f>
        <v>0</v>
      </c>
      <c r="Q95" s="333">
        <f>SUM(F95:J95,L95)*'Tillegg- Inndata GoF'!K93</f>
        <v>0</v>
      </c>
      <c r="R95" s="333">
        <f>(K95+M95)*'Tillegg- Inndata GoF'!K93</f>
        <v>0</v>
      </c>
      <c r="S95" s="333">
        <f>SUM(N95:P95)*'Tillegg- Inndata GoF'!K93</f>
        <v>0</v>
      </c>
      <c r="T95" s="334">
        <f>('Tillegg- Inndata GoF'!G93+'Tillegg- Inndata GoF'!O93+'Tillegg- Inndata GoF'!S93)*'Tillegg- Inndata GoF'!K93*Transport_utslipp_til_avfallshånderting_per_kg</f>
        <v>0</v>
      </c>
      <c r="U95" s="330">
        <f>IF('Tillegg- Inndata GoF'!E93 = 0, 0, 1.833*'Tillegg- Inndata GoF'!X93*'Tillegg- Inndata GoF'!K93*('Tillegg- Inndata GoF'!G93*('Tillegg- Inndata GoF'!L93*0.5+'Tillegg- Inndata GoF'!M93*0.8) + (12/44)*('Tillegg- Inndata GoF'!O93*'Tillegg- Inndata GoF'!Q93+'Tillegg- Inndata GoF'!S93*'Tillegg- Inndata GoF'!U93)))</f>
        <v>0</v>
      </c>
      <c r="V95" s="335">
        <f>IF('Tillegg- Inndata GoF'!G93 = 0, 0,  MAX(-SUM(F95:J95,L95)*'Tillegg- Inndata GoF'!L93, -0.114*IF('Tillegg- Inndata GoF'!H93 &gt; 49, _xlfn.XLOOKUP(49, År_etter_ferdigstillelse, karbon_opptak_faktor), _xlfn.XLOOKUP('Tillegg- Inndata GoF'!H93, År_etter_ferdigstillelse, karbon_opptak_faktor))*'Tillegg- Inndata GoF'!G93*'Tillegg- Inndata GoF'!L93*0.5))</f>
        <v>0</v>
      </c>
      <c r="W95" s="333">
        <f>IF('Tillegg- Inndata GoF'!G93=0,0,IF('Tillegg- Inndata GoF'!H93&gt;49,-0.064*'Tillegg- Inndata GoF'!G93*'Tillegg- Inndata GoF'!N93,-0.037*'Tillegg- Inndata GoF'!J93*'Tillegg- Inndata GoF'!N93))</f>
        <v>0</v>
      </c>
      <c r="X95" s="331" cm="1">
        <f t="array" ref="X95">IF(SUM(F95:J95,L95)=0, 0, SUM(F95:J95,L95)*(1+'Tillegg-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Y95" s="330" cm="1">
        <f t="array" ref="Y95">IF(X95=0, 0, SUM(K95,M95)*(1+'Tillegg-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Z95" s="336" cm="1">
        <f t="array" ref="Z95">IF(X95=0, 0, SUM(N95:P95)*(1+'Tillegg-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AA95" s="336" cm="1">
        <f t="array" ref="AA95">IF(X95=0, 0, ('Tillegg- Inndata GoF'!G93+'Tillegg- Inndata GoF'!O93+'Tillegg- Inndata GoF'!S93)*(1+'Tillegg- Inndata GoF'!K93)*Transport_utslipp_til_avfallshånderting_per_kg*IF('Tillegg- Inndata GoF'!H93&gt;50, 0, _xlfn.XLOOKUP('Tillegg- Inndata GoF'!H93, År_etter_ferdigstillelse, IF(VALUE(LEFT('Tillegg- Inndata GoF'!B93, 2))= 49, f_tid_x_f_tek_d_0_037_kumulativ, f_tid_x_f_tek_d_0_01_kumulativ))))</f>
        <v>0</v>
      </c>
      <c r="AB95" s="334" cm="1">
        <f t="array" ref="AB95">IF(X95=0, 0,1.833*'Tillegg- Inndata GoF'!J93*('Tillegg- Inndata GoF'!X93*_xlfn.XLOOKUP(IF('Tillegg- Inndata GoF'!I93&lt;2,'Tillegg- Inndata GoF'!H93,'Tillegg- Inndata GoF'!H93*2), År_etter_ferdigstillelse, Faktorer!$Z$7:$Z$58))*('Tillegg- Inndata GoF'!L93*0.5+'Tillegg- Inndata GoF'!M93*0.8)*_xlfn.XLOOKUP(IF('Tillegg- Inndata GoF'!I93&lt;2,'Tillegg- Inndata GoF'!H93,'Tillegg- Inndata GoF'!H93*2), År_etter_ferdigstillelse,  IF(LEFT('Tillegg- Inndata GoF'!B93, 2)= 49, f_tid_x_f_tek_d_0_037, f_tid_x_f_tek_d_0_01)))</f>
        <v>0</v>
      </c>
      <c r="AC95" s="335">
        <f>IF(('Tillegg- Inndata GoF'!G93) = 0, 0,(('Tillegg- Inndata GoF'!G93)*((AG95+AI95)*Transport_utslipp_til_avfallshånderting_per_kg)+('Tillegg- Inndata GoF'!Z93*'ZERO-B Beregning'!D195)*IF('ZERO-B Beregning'!F196=0,'ZERO-B Beregning'!D196,'ZERO-B Beregning'!F196))*_xlfn.XLOOKUP(51, År_etter_ferdigstillelse, f_tid_x_f_tek_d_0_01))</f>
        <v>0</v>
      </c>
      <c r="AD95" s="337">
        <f>IF(('Tillegg- Inndata GoF'!G93) = 0, 0,1.833*('Tillegg- Inndata GoF'!G93*('Tillegg- Inndata GoF'!L93*0.5+'Tillegg- Inndata GoF'!M93*0.8)*AG95*_xlfn.XLOOKUP(51, År_etter_ferdigstillelse,  f_tid_x_f_tek_d_0_01)))</f>
        <v>0</v>
      </c>
      <c r="AE95" s="333" cm="1">
        <f t="array" ref="AE95">IF(('Tillegg- Inndata GoF'!G93) = 0, 0,-0.8*('Tillegg- Inndata GoF'!G93)*AH95*('Tillegg- Inndata GoF'!E93/'Tillegg- Inndata GoF'!G93)*_xlfn.XLOOKUP(51, År_etter_ferdigstillelse,  IF(LEFT('Tillegg- Inndata GoF'!B93, 2)= 49, f_tid_x_f_tek_d_0_037, f_tid_x_f_tek_d_0_01)))</f>
        <v>0</v>
      </c>
      <c r="AF95" s="338" cm="1">
        <f t="array" ref="AF95">IF(('Tillegg- Inndata GoF'!G93) = 0, 0,-0.1*('Tillegg- Inndata GoF'!G93)*AI95*('Tillegg- Inndata GoF'!E93/'Tillegg- Inndata GoF'!G93)*_xlfn.XLOOKUP(51, År_etter_ferdigstillelse,  IF(LEFT('Tillegg- Inndata GoF'!B93, 2)= 49, f_tid_x_f_tek_d_0_037, f_tid_x_f_tek_d_0_01)))</f>
        <v>0</v>
      </c>
      <c r="AG95" s="572">
        <f>IF(('Tillegg- Inndata GoF'!G93) = 0, 0,'Tillegg- Inndata GoF'!X93*Faktorer!$Z$58)</f>
        <v>0</v>
      </c>
      <c r="AH95" s="573">
        <f>IF(('Tillegg- Inndata GoF'!G93) = 0, 0,'Tillegg- Inndata GoF'!Z93+('Tillegg- Inndata GoF'!X93+'Tillegg- Inndata GoF'!Y93)*(1-Faktorer!$Z$58)*0.5)</f>
        <v>0</v>
      </c>
      <c r="AI95" s="574">
        <f>IF(('Tillegg- Inndata GoF'!G93) = 0, 0,'Tillegg- Inndata GoF'!AA93+('Tillegg- Inndata GoF'!X93+'Tillegg- Inndata GoF'!Y93)*(1-Faktorer!$Z$58)*0.5)</f>
        <v>0</v>
      </c>
      <c r="AK95" s="90">
        <f t="shared" si="2"/>
        <v>0</v>
      </c>
      <c r="AL95" s="91">
        <f>'Tillegg- Res. detaljert GoF'!N95</f>
        <v>0</v>
      </c>
      <c r="AM95" s="91" t="str">
        <f>IF(F95=0,"",('Tillegg- Inndata GoF'!E95+'Tillegg- Inndata GoF'!F95)*ROUNDDOWN('Tillegg- Inndata GoF'!I95,0)*(1+'Tillegg- Inndata GoF'!K95))</f>
        <v/>
      </c>
    </row>
    <row r="96" spans="2:39">
      <c r="B96" s="327">
        <f>'Tillegg- Inndata GoF'!B94</f>
        <v>0</v>
      </c>
      <c r="C96" s="328">
        <f>'Tillegg- Inndata GoF'!C94</f>
        <v>0</v>
      </c>
      <c r="D96" s="329">
        <f>'Tillegg- Inndata GoF'!D94</f>
        <v>0</v>
      </c>
      <c r="E96" s="661" cm="1">
        <f t="array" ref="E96">SUM(IFERROR(F96:AF96,0))</f>
        <v>0</v>
      </c>
      <c r="F96" s="330">
        <f>'Tillegg- Inndata GoF'!E94</f>
        <v>0</v>
      </c>
      <c r="G96" s="330">
        <f>IF('Tillegg- Inndata GoF'!AB94="Ja", -0.8*'Tillegg- Res. detaljert GoF'!$F96, 0)</f>
        <v>0</v>
      </c>
      <c r="H96" s="330">
        <f>IF('Tillegg- Inndata GoF'!AC94="Ja", -0.4*'Tillegg- Res. detaljert GoF'!$F96, 0)</f>
        <v>0</v>
      </c>
      <c r="I96" s="330">
        <f>IF('Tillegg- Inndata GoF'!AD94="Ja", -1*'Tillegg- Res. detaljert GoF'!$F96, 0)</f>
        <v>0</v>
      </c>
      <c r="J96" s="330">
        <f>'Tillegg- Inndata GoF'!O94*'Tillegg- Inndata GoF'!P94</f>
        <v>0</v>
      </c>
      <c r="K96" s="330">
        <f>MAX(-0.75*(SUM('Tillegg- Res. detaljert GoF'!F96:J96)),-'Tillegg- Inndata GoF'!O94*'Tillegg- Inndata GoF'!Q94)</f>
        <v>0</v>
      </c>
      <c r="L96" s="330">
        <f>'Tillegg- Inndata GoF'!S94*'Tillegg- Inndata GoF'!T94</f>
        <v>0</v>
      </c>
      <c r="M96" s="330">
        <f>MAX(-0.75*(SUM('Tillegg- Res. detaljert GoF'!F96:I96,L96)),-'Tillegg- Inndata GoF'!S94*'Tillegg- Inndata GoF'!U94)</f>
        <v>0</v>
      </c>
      <c r="N96" s="331">
        <f>'Tillegg- Inndata GoF'!F94</f>
        <v>0</v>
      </c>
      <c r="O96" s="330">
        <f>'Tillegg- Inndata GoF'!O94*'Tillegg- Inndata GoF'!R94</f>
        <v>0</v>
      </c>
      <c r="P96" s="332">
        <f>'Tillegg- Inndata GoF'!S94*'Tillegg- Inndata GoF'!V94</f>
        <v>0</v>
      </c>
      <c r="Q96" s="333">
        <f>SUM(F96:J96,L96)*'Tillegg- Inndata GoF'!K94</f>
        <v>0</v>
      </c>
      <c r="R96" s="333">
        <f>(K96+M96)*'Tillegg- Inndata GoF'!K94</f>
        <v>0</v>
      </c>
      <c r="S96" s="333">
        <f>SUM(N96:P96)*'Tillegg- Inndata GoF'!K94</f>
        <v>0</v>
      </c>
      <c r="T96" s="334">
        <f>('Tillegg- Inndata GoF'!G94+'Tillegg- Inndata GoF'!O94+'Tillegg- Inndata GoF'!S94)*'Tillegg- Inndata GoF'!K94*Transport_utslipp_til_avfallshånderting_per_kg</f>
        <v>0</v>
      </c>
      <c r="U96" s="330">
        <f>IF('Tillegg- Inndata GoF'!E94 = 0, 0, 1.833*'Tillegg- Inndata GoF'!X94*'Tillegg- Inndata GoF'!K94*('Tillegg- Inndata GoF'!G94*('Tillegg- Inndata GoF'!L94*0.5+'Tillegg- Inndata GoF'!M94*0.8) + (12/44)*('Tillegg- Inndata GoF'!O94*'Tillegg- Inndata GoF'!Q94+'Tillegg- Inndata GoF'!S94*'Tillegg- Inndata GoF'!U94)))</f>
        <v>0</v>
      </c>
      <c r="V96" s="335">
        <f>IF('Tillegg- Inndata GoF'!G94 = 0, 0,  MAX(-SUM(F96:J96,L96)*'Tillegg- Inndata GoF'!L94, -0.114*IF('Tillegg- Inndata GoF'!H94 &gt; 49, _xlfn.XLOOKUP(49, År_etter_ferdigstillelse, karbon_opptak_faktor), _xlfn.XLOOKUP('Tillegg- Inndata GoF'!H94, År_etter_ferdigstillelse, karbon_opptak_faktor))*'Tillegg- Inndata GoF'!G94*'Tillegg- Inndata GoF'!L94*0.5))</f>
        <v>0</v>
      </c>
      <c r="W96" s="333">
        <f>IF('Tillegg- Inndata GoF'!G94=0,0,IF('Tillegg- Inndata GoF'!H94&gt;49,-0.064*'Tillegg- Inndata GoF'!G94*'Tillegg- Inndata GoF'!N94,-0.037*'Tillegg- Inndata GoF'!J94*'Tillegg- Inndata GoF'!N94))</f>
        <v>0</v>
      </c>
      <c r="X96" s="331" cm="1">
        <f t="array" ref="X96">IF(SUM(F96:J96,L96)=0, 0, SUM(F96:J96,L96)*(1+'Tillegg-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Y96" s="330" cm="1">
        <f t="array" ref="Y96">IF(X96=0, 0, SUM(K96,M96)*(1+'Tillegg-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Z96" s="336" cm="1">
        <f t="array" ref="Z96">IF(X96=0, 0, SUM(N96:P96)*(1+'Tillegg-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AA96" s="336" cm="1">
        <f t="array" ref="AA96">IF(X96=0, 0, ('Tillegg- Inndata GoF'!G94+'Tillegg- Inndata GoF'!O94+'Tillegg- Inndata GoF'!S94)*(1+'Tillegg- Inndata GoF'!K94)*Transport_utslipp_til_avfallshånderting_per_kg*IF('Tillegg- Inndata GoF'!H94&gt;50, 0, _xlfn.XLOOKUP('Tillegg- Inndata GoF'!H94, År_etter_ferdigstillelse, IF(VALUE(LEFT('Tillegg- Inndata GoF'!B94, 2))= 49, f_tid_x_f_tek_d_0_037_kumulativ, f_tid_x_f_tek_d_0_01_kumulativ))))</f>
        <v>0</v>
      </c>
      <c r="AB96" s="334" cm="1">
        <f t="array" ref="AB96">IF(X96=0, 0,1.833*'Tillegg- Inndata GoF'!J94*('Tillegg- Inndata GoF'!X94*_xlfn.XLOOKUP(IF('Tillegg- Inndata GoF'!I94&lt;2,'Tillegg- Inndata GoF'!H94,'Tillegg- Inndata GoF'!H94*2), År_etter_ferdigstillelse, Faktorer!$Z$7:$Z$58))*('Tillegg- Inndata GoF'!L94*0.5+'Tillegg- Inndata GoF'!M94*0.8)*_xlfn.XLOOKUP(IF('Tillegg- Inndata GoF'!I94&lt;2,'Tillegg- Inndata GoF'!H94,'Tillegg- Inndata GoF'!H94*2), År_etter_ferdigstillelse,  IF(LEFT('Tillegg- Inndata GoF'!B94, 2)= 49, f_tid_x_f_tek_d_0_037, f_tid_x_f_tek_d_0_01)))</f>
        <v>0</v>
      </c>
      <c r="AC96" s="335">
        <f>IF(('Tillegg- Inndata GoF'!G94) = 0, 0,(('Tillegg- Inndata GoF'!G94)*((AG96+AI96)*Transport_utslipp_til_avfallshånderting_per_kg)+('Tillegg- Inndata GoF'!Z94*'ZERO-B Beregning'!D196)*IF('ZERO-B Beregning'!F197=0,'ZERO-B Beregning'!D197,'ZERO-B Beregning'!F197))*_xlfn.XLOOKUP(51, År_etter_ferdigstillelse, f_tid_x_f_tek_d_0_01))</f>
        <v>0</v>
      </c>
      <c r="AD96" s="337">
        <f>IF(('Tillegg- Inndata GoF'!G94) = 0, 0,1.833*('Tillegg- Inndata GoF'!G94*('Tillegg- Inndata GoF'!L94*0.5+'Tillegg- Inndata GoF'!M94*0.8)*AG96*_xlfn.XLOOKUP(51, År_etter_ferdigstillelse,  f_tid_x_f_tek_d_0_01)))</f>
        <v>0</v>
      </c>
      <c r="AE96" s="333" cm="1">
        <f t="array" ref="AE96">IF(('Tillegg- Inndata GoF'!G94) = 0, 0,-0.8*('Tillegg- Inndata GoF'!G94)*AH96*('Tillegg- Inndata GoF'!E94/'Tillegg- Inndata GoF'!G94)*_xlfn.XLOOKUP(51, År_etter_ferdigstillelse,  IF(LEFT('Tillegg- Inndata GoF'!B94, 2)= 49, f_tid_x_f_tek_d_0_037, f_tid_x_f_tek_d_0_01)))</f>
        <v>0</v>
      </c>
      <c r="AF96" s="338" cm="1">
        <f t="array" ref="AF96">IF(('Tillegg- Inndata GoF'!G94) = 0, 0,-0.1*('Tillegg- Inndata GoF'!G94)*AI96*('Tillegg- Inndata GoF'!E94/'Tillegg- Inndata GoF'!G94)*_xlfn.XLOOKUP(51, År_etter_ferdigstillelse,  IF(LEFT('Tillegg- Inndata GoF'!B94, 2)= 49, f_tid_x_f_tek_d_0_037, f_tid_x_f_tek_d_0_01)))</f>
        <v>0</v>
      </c>
      <c r="AG96" s="572">
        <f>IF(('Tillegg- Inndata GoF'!G94) = 0, 0,'Tillegg- Inndata GoF'!X94*Faktorer!$Z$58)</f>
        <v>0</v>
      </c>
      <c r="AH96" s="573">
        <f>IF(('Tillegg- Inndata GoF'!G94) = 0, 0,'Tillegg- Inndata GoF'!Z94+('Tillegg- Inndata GoF'!X94+'Tillegg- Inndata GoF'!Y94)*(1-Faktorer!$Z$58)*0.5)</f>
        <v>0</v>
      </c>
      <c r="AI96" s="574">
        <f>IF(('Tillegg- Inndata GoF'!G94) = 0, 0,'Tillegg- Inndata GoF'!AA94+('Tillegg- Inndata GoF'!X94+'Tillegg- Inndata GoF'!Y94)*(1-Faktorer!$Z$58)*0.5)</f>
        <v>0</v>
      </c>
      <c r="AK96" s="90">
        <f t="shared" si="2"/>
        <v>0</v>
      </c>
      <c r="AL96" s="91">
        <f>'Tillegg- Res. detaljert GoF'!N96</f>
        <v>0</v>
      </c>
      <c r="AM96" s="91" t="str">
        <f>IF(F96=0,"",('Tillegg- Inndata GoF'!E96+'Tillegg- Inndata GoF'!F96)*ROUNDDOWN('Tillegg- Inndata GoF'!I96,0)*(1+'Tillegg- Inndata GoF'!K96))</f>
        <v/>
      </c>
    </row>
    <row r="97" spans="2:39">
      <c r="B97" s="327">
        <f>'Tillegg- Inndata GoF'!B95</f>
        <v>0</v>
      </c>
      <c r="C97" s="328">
        <f>'Tillegg- Inndata GoF'!C95</f>
        <v>0</v>
      </c>
      <c r="D97" s="329">
        <f>'Tillegg- Inndata GoF'!D95</f>
        <v>0</v>
      </c>
      <c r="E97" s="661" cm="1">
        <f t="array" ref="E97">SUM(IFERROR(F97:AF97,0))</f>
        <v>0</v>
      </c>
      <c r="F97" s="330">
        <f>'Tillegg- Inndata GoF'!E95</f>
        <v>0</v>
      </c>
      <c r="G97" s="330">
        <f>IF('Tillegg- Inndata GoF'!AB95="Ja", -0.8*'Tillegg- Res. detaljert GoF'!$F97, 0)</f>
        <v>0</v>
      </c>
      <c r="H97" s="330">
        <f>IF('Tillegg- Inndata GoF'!AC95="Ja", -0.4*'Tillegg- Res. detaljert GoF'!$F97, 0)</f>
        <v>0</v>
      </c>
      <c r="I97" s="330">
        <f>IF('Tillegg- Inndata GoF'!AD95="Ja", -1*'Tillegg- Res. detaljert GoF'!$F97, 0)</f>
        <v>0</v>
      </c>
      <c r="J97" s="330">
        <f>'Tillegg- Inndata GoF'!O95*'Tillegg- Inndata GoF'!P95</f>
        <v>0</v>
      </c>
      <c r="K97" s="330">
        <f>MAX(-0.75*(SUM('Tillegg- Res. detaljert GoF'!F97:J97)),-'Tillegg- Inndata GoF'!O95*'Tillegg- Inndata GoF'!Q95)</f>
        <v>0</v>
      </c>
      <c r="L97" s="330">
        <f>'Tillegg- Inndata GoF'!S95*'Tillegg- Inndata GoF'!T95</f>
        <v>0</v>
      </c>
      <c r="M97" s="330">
        <f>MAX(-0.75*(SUM('Tillegg- Res. detaljert GoF'!F97:I97,L97)),-'Tillegg- Inndata GoF'!S95*'Tillegg- Inndata GoF'!U95)</f>
        <v>0</v>
      </c>
      <c r="N97" s="331">
        <f>'Tillegg- Inndata GoF'!F95</f>
        <v>0</v>
      </c>
      <c r="O97" s="330">
        <f>'Tillegg- Inndata GoF'!O95*'Tillegg- Inndata GoF'!R95</f>
        <v>0</v>
      </c>
      <c r="P97" s="332">
        <f>'Tillegg- Inndata GoF'!S95*'Tillegg- Inndata GoF'!V95</f>
        <v>0</v>
      </c>
      <c r="Q97" s="333">
        <f>SUM(F97:J97,L97)*'Tillegg- Inndata GoF'!K95</f>
        <v>0</v>
      </c>
      <c r="R97" s="333">
        <f>(K97+M97)*'Tillegg- Inndata GoF'!K95</f>
        <v>0</v>
      </c>
      <c r="S97" s="333">
        <f>SUM(N97:P97)*'Tillegg- Inndata GoF'!K95</f>
        <v>0</v>
      </c>
      <c r="T97" s="334">
        <f>('Tillegg- Inndata GoF'!G95+'Tillegg- Inndata GoF'!O95+'Tillegg- Inndata GoF'!S95)*'Tillegg- Inndata GoF'!K95*Transport_utslipp_til_avfallshånderting_per_kg</f>
        <v>0</v>
      </c>
      <c r="U97" s="330">
        <f>IF('Tillegg- Inndata GoF'!E95 = 0, 0, 1.833*'Tillegg- Inndata GoF'!X95*'Tillegg- Inndata GoF'!K95*('Tillegg- Inndata GoF'!G95*('Tillegg- Inndata GoF'!L95*0.5+'Tillegg- Inndata GoF'!M95*0.8) + (12/44)*('Tillegg- Inndata GoF'!O95*'Tillegg- Inndata GoF'!Q95+'Tillegg- Inndata GoF'!S95*'Tillegg- Inndata GoF'!U95)))</f>
        <v>0</v>
      </c>
      <c r="V97" s="335">
        <f>IF('Tillegg- Inndata GoF'!G95 = 0, 0,  MAX(-SUM(F97:J97,L97)*'Tillegg- Inndata GoF'!L95, -0.114*IF('Tillegg- Inndata GoF'!H95 &gt; 49, _xlfn.XLOOKUP(49, År_etter_ferdigstillelse, karbon_opptak_faktor), _xlfn.XLOOKUP('Tillegg- Inndata GoF'!H95, År_etter_ferdigstillelse, karbon_opptak_faktor))*'Tillegg- Inndata GoF'!G95*'Tillegg- Inndata GoF'!L95*0.5))</f>
        <v>0</v>
      </c>
      <c r="W97" s="333">
        <f>IF('Tillegg- Inndata GoF'!G95=0,0,IF('Tillegg- Inndata GoF'!H95&gt;49,-0.064*'Tillegg- Inndata GoF'!G95*'Tillegg- Inndata GoF'!N95,-0.037*'Tillegg- Inndata GoF'!J95*'Tillegg- Inndata GoF'!N95))</f>
        <v>0</v>
      </c>
      <c r="X97" s="331" cm="1">
        <f t="array" ref="X97">IF(SUM(F97:J97,L97)=0, 0, SUM(F97:J97,L97)*(1+'Tillegg-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Y97" s="330" cm="1">
        <f t="array" ref="Y97">IF(X97=0, 0, SUM(K97,M97)*(1+'Tillegg-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Z97" s="336" cm="1">
        <f t="array" ref="Z97">IF(X97=0, 0, SUM(N97:P97)*(1+'Tillegg-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AA97" s="336" cm="1">
        <f t="array" ref="AA97">IF(X97=0, 0, ('Tillegg- Inndata GoF'!G95+'Tillegg- Inndata GoF'!O95+'Tillegg- Inndata GoF'!S95)*(1+'Tillegg- Inndata GoF'!K95)*Transport_utslipp_til_avfallshånderting_per_kg*IF('Tillegg- Inndata GoF'!H95&gt;50, 0, _xlfn.XLOOKUP('Tillegg- Inndata GoF'!H95, År_etter_ferdigstillelse, IF(VALUE(LEFT('Tillegg- Inndata GoF'!B95, 2))= 49, f_tid_x_f_tek_d_0_037_kumulativ, f_tid_x_f_tek_d_0_01_kumulativ))))</f>
        <v>0</v>
      </c>
      <c r="AB97" s="334" cm="1">
        <f t="array" ref="AB97">IF(X97=0, 0,1.833*'Tillegg- Inndata GoF'!J95*('Tillegg- Inndata GoF'!X95*_xlfn.XLOOKUP(IF('Tillegg- Inndata GoF'!I95&lt;2,'Tillegg- Inndata GoF'!H95,'Tillegg- Inndata GoF'!H95*2), År_etter_ferdigstillelse, Faktorer!$Z$7:$Z$58))*('Tillegg- Inndata GoF'!L95*0.5+'Tillegg- Inndata GoF'!M95*0.8)*_xlfn.XLOOKUP(IF('Tillegg- Inndata GoF'!I95&lt;2,'Tillegg- Inndata GoF'!H95,'Tillegg- Inndata GoF'!H95*2), År_etter_ferdigstillelse,  IF(LEFT('Tillegg- Inndata GoF'!B95, 2)= 49, f_tid_x_f_tek_d_0_037, f_tid_x_f_tek_d_0_01)))</f>
        <v>0</v>
      </c>
      <c r="AC97" s="335">
        <f>IF(('Tillegg- Inndata GoF'!G95) = 0, 0,(('Tillegg- Inndata GoF'!G95)*((AG97+AI97)*Transport_utslipp_til_avfallshånderting_per_kg)+('Tillegg- Inndata GoF'!Z95*'ZERO-B Beregning'!D197)*IF('ZERO-B Beregning'!F198=0,'ZERO-B Beregning'!D198,'ZERO-B Beregning'!F198))*_xlfn.XLOOKUP(51, År_etter_ferdigstillelse, f_tid_x_f_tek_d_0_01))</f>
        <v>0</v>
      </c>
      <c r="AD97" s="337">
        <f>IF(('Tillegg- Inndata GoF'!G95) = 0, 0,1.833*('Tillegg- Inndata GoF'!G95*('Tillegg- Inndata GoF'!L95*0.5+'Tillegg- Inndata GoF'!M95*0.8)*AG97*_xlfn.XLOOKUP(51, År_etter_ferdigstillelse,  f_tid_x_f_tek_d_0_01)))</f>
        <v>0</v>
      </c>
      <c r="AE97" s="333" cm="1">
        <f t="array" ref="AE97">IF(('Tillegg- Inndata GoF'!G95) = 0, 0,-0.8*('Tillegg- Inndata GoF'!G95)*AH97*('Tillegg- Inndata GoF'!E95/'Tillegg- Inndata GoF'!G95)*_xlfn.XLOOKUP(51, År_etter_ferdigstillelse,  IF(LEFT('Tillegg- Inndata GoF'!B95, 2)= 49, f_tid_x_f_tek_d_0_037, f_tid_x_f_tek_d_0_01)))</f>
        <v>0</v>
      </c>
      <c r="AF97" s="338" cm="1">
        <f t="array" ref="AF97">IF(('Tillegg- Inndata GoF'!G95) = 0, 0,-0.1*('Tillegg- Inndata GoF'!G95)*AI97*('Tillegg- Inndata GoF'!E95/'Tillegg- Inndata GoF'!G95)*_xlfn.XLOOKUP(51, År_etter_ferdigstillelse,  IF(LEFT('Tillegg- Inndata GoF'!B95, 2)= 49, f_tid_x_f_tek_d_0_037, f_tid_x_f_tek_d_0_01)))</f>
        <v>0</v>
      </c>
      <c r="AG97" s="572">
        <f>IF(('Tillegg- Inndata GoF'!G95) = 0, 0,'Tillegg- Inndata GoF'!X95*Faktorer!$Z$58)</f>
        <v>0</v>
      </c>
      <c r="AH97" s="573">
        <f>IF(('Tillegg- Inndata GoF'!G95) = 0, 0,'Tillegg- Inndata GoF'!Z95+('Tillegg- Inndata GoF'!X95+'Tillegg- Inndata GoF'!Y95)*(1-Faktorer!$Z$58)*0.5)</f>
        <v>0</v>
      </c>
      <c r="AI97" s="574">
        <f>IF(('Tillegg- Inndata GoF'!G95) = 0, 0,'Tillegg- Inndata GoF'!AA95+('Tillegg- Inndata GoF'!X95+'Tillegg- Inndata GoF'!Y95)*(1-Faktorer!$Z$58)*0.5)</f>
        <v>0</v>
      </c>
      <c r="AK97" s="90">
        <f t="shared" si="2"/>
        <v>0</v>
      </c>
      <c r="AL97" s="91">
        <f>'Tillegg- Res. detaljert GoF'!N97</f>
        <v>0</v>
      </c>
      <c r="AM97" s="91" t="str">
        <f>IF(F97=0,"",('Tillegg- Inndata GoF'!E97+'Tillegg- Inndata GoF'!F97)*ROUNDDOWN('Tillegg- Inndata GoF'!I97,0)*(1+'Tillegg- Inndata GoF'!K97))</f>
        <v/>
      </c>
    </row>
    <row r="98" spans="2:39">
      <c r="B98" s="327">
        <f>'Tillegg- Inndata GoF'!B96</f>
        <v>0</v>
      </c>
      <c r="C98" s="328">
        <f>'Tillegg- Inndata GoF'!C96</f>
        <v>0</v>
      </c>
      <c r="D98" s="329">
        <f>'Tillegg- Inndata GoF'!D96</f>
        <v>0</v>
      </c>
      <c r="E98" s="661" cm="1">
        <f t="array" ref="E98">SUM(IFERROR(F98:AF98,0))</f>
        <v>0</v>
      </c>
      <c r="F98" s="330">
        <f>'Tillegg- Inndata GoF'!E96</f>
        <v>0</v>
      </c>
      <c r="G98" s="330">
        <f>IF('Tillegg- Inndata GoF'!AB96="Ja", -0.8*'Tillegg- Res. detaljert GoF'!$F98, 0)</f>
        <v>0</v>
      </c>
      <c r="H98" s="330">
        <f>IF('Tillegg- Inndata GoF'!AC96="Ja", -0.4*'Tillegg- Res. detaljert GoF'!$F98, 0)</f>
        <v>0</v>
      </c>
      <c r="I98" s="330">
        <f>IF('Tillegg- Inndata GoF'!AD96="Ja", -1*'Tillegg- Res. detaljert GoF'!$F98, 0)</f>
        <v>0</v>
      </c>
      <c r="J98" s="330">
        <f>'Tillegg- Inndata GoF'!O96*'Tillegg- Inndata GoF'!P96</f>
        <v>0</v>
      </c>
      <c r="K98" s="330">
        <f>MAX(-0.75*(SUM('Tillegg- Res. detaljert GoF'!F98:J98)),-'Tillegg- Inndata GoF'!O96*'Tillegg- Inndata GoF'!Q96)</f>
        <v>0</v>
      </c>
      <c r="L98" s="330">
        <f>'Tillegg- Inndata GoF'!S96*'Tillegg- Inndata GoF'!T96</f>
        <v>0</v>
      </c>
      <c r="M98" s="330">
        <f>MAX(-0.75*(SUM('Tillegg- Res. detaljert GoF'!F98:I98,L98)),-'Tillegg- Inndata GoF'!S96*'Tillegg- Inndata GoF'!U96)</f>
        <v>0</v>
      </c>
      <c r="N98" s="331">
        <f>'Tillegg- Inndata GoF'!F96</f>
        <v>0</v>
      </c>
      <c r="O98" s="330">
        <f>'Tillegg- Inndata GoF'!O96*'Tillegg- Inndata GoF'!R96</f>
        <v>0</v>
      </c>
      <c r="P98" s="332">
        <f>'Tillegg- Inndata GoF'!S96*'Tillegg- Inndata GoF'!V96</f>
        <v>0</v>
      </c>
      <c r="Q98" s="333">
        <f>SUM(F98:J98,L98)*'Tillegg- Inndata GoF'!K96</f>
        <v>0</v>
      </c>
      <c r="R98" s="333">
        <f>(K98+M98)*'Tillegg- Inndata GoF'!K96</f>
        <v>0</v>
      </c>
      <c r="S98" s="333">
        <f>SUM(N98:P98)*'Tillegg- Inndata GoF'!K96</f>
        <v>0</v>
      </c>
      <c r="T98" s="334">
        <f>('Tillegg- Inndata GoF'!G96+'Tillegg- Inndata GoF'!O96+'Tillegg- Inndata GoF'!S96)*'Tillegg- Inndata GoF'!K96*Transport_utslipp_til_avfallshånderting_per_kg</f>
        <v>0</v>
      </c>
      <c r="U98" s="330">
        <f>IF('Tillegg- Inndata GoF'!E96 = 0, 0, 1.833*'Tillegg- Inndata GoF'!X96*'Tillegg- Inndata GoF'!K96*('Tillegg- Inndata GoF'!G96*('Tillegg- Inndata GoF'!L96*0.5+'Tillegg- Inndata GoF'!M96*0.8) + (12/44)*('Tillegg- Inndata GoF'!O96*'Tillegg- Inndata GoF'!Q96+'Tillegg- Inndata GoF'!S96*'Tillegg- Inndata GoF'!U96)))</f>
        <v>0</v>
      </c>
      <c r="V98" s="335">
        <f>IF('Tillegg- Inndata GoF'!G96 = 0, 0,  MAX(-SUM(F98:J98,L98)*'Tillegg- Inndata GoF'!L96, -0.114*IF('Tillegg- Inndata GoF'!H96 &gt; 49, _xlfn.XLOOKUP(49, År_etter_ferdigstillelse, karbon_opptak_faktor), _xlfn.XLOOKUP('Tillegg- Inndata GoF'!H96, År_etter_ferdigstillelse, karbon_opptak_faktor))*'Tillegg- Inndata GoF'!G96*'Tillegg- Inndata GoF'!L96*0.5))</f>
        <v>0</v>
      </c>
      <c r="W98" s="333">
        <f>IF('Tillegg- Inndata GoF'!G96=0,0,IF('Tillegg- Inndata GoF'!H96&gt;49,-0.064*'Tillegg- Inndata GoF'!G96*'Tillegg- Inndata GoF'!N96,-0.037*'Tillegg- Inndata GoF'!J96*'Tillegg- Inndata GoF'!N96))</f>
        <v>0</v>
      </c>
      <c r="X98" s="331" cm="1">
        <f t="array" ref="X98">IF(SUM(F98:J98,L98)=0, 0, SUM(F98:J98,L98)*(1+'Tillegg-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Y98" s="330" cm="1">
        <f t="array" ref="Y98">IF(X98=0, 0, SUM(K98,M98)*(1+'Tillegg-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Z98" s="336" cm="1">
        <f t="array" ref="Z98">IF(X98=0, 0, SUM(N98:P98)*(1+'Tillegg-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AA98" s="336" cm="1">
        <f t="array" ref="AA98">IF(X98=0, 0, ('Tillegg- Inndata GoF'!G96+'Tillegg- Inndata GoF'!O96+'Tillegg- Inndata GoF'!S96)*(1+'Tillegg- Inndata GoF'!K96)*Transport_utslipp_til_avfallshånderting_per_kg*IF('Tillegg- Inndata GoF'!H96&gt;50, 0, _xlfn.XLOOKUP('Tillegg- Inndata GoF'!H96, År_etter_ferdigstillelse, IF(VALUE(LEFT('Tillegg- Inndata GoF'!B96, 2))= 49, f_tid_x_f_tek_d_0_037_kumulativ, f_tid_x_f_tek_d_0_01_kumulativ))))</f>
        <v>0</v>
      </c>
      <c r="AB98" s="334" cm="1">
        <f t="array" ref="AB98">IF(X98=0, 0,1.833*'Tillegg- Inndata GoF'!J96*('Tillegg- Inndata GoF'!X96*_xlfn.XLOOKUP(IF('Tillegg- Inndata GoF'!I96&lt;2,'Tillegg- Inndata GoF'!H96,'Tillegg- Inndata GoF'!H96*2), År_etter_ferdigstillelse, Faktorer!$Z$7:$Z$58))*('Tillegg- Inndata GoF'!L96*0.5+'Tillegg- Inndata GoF'!M96*0.8)*_xlfn.XLOOKUP(IF('Tillegg- Inndata GoF'!I96&lt;2,'Tillegg- Inndata GoF'!H96,'Tillegg- Inndata GoF'!H96*2), År_etter_ferdigstillelse,  IF(LEFT('Tillegg- Inndata GoF'!B96, 2)= 49, f_tid_x_f_tek_d_0_037, f_tid_x_f_tek_d_0_01)))</f>
        <v>0</v>
      </c>
      <c r="AC98" s="335">
        <f>IF(('Tillegg- Inndata GoF'!G96) = 0, 0,(('Tillegg- Inndata GoF'!G96)*((AG98+AI98)*Transport_utslipp_til_avfallshånderting_per_kg)+('Tillegg- Inndata GoF'!Z96*'ZERO-B Beregning'!D198)*IF('ZERO-B Beregning'!F199=0,'ZERO-B Beregning'!D199,'ZERO-B Beregning'!F199))*_xlfn.XLOOKUP(51, År_etter_ferdigstillelse, f_tid_x_f_tek_d_0_01))</f>
        <v>0</v>
      </c>
      <c r="AD98" s="337">
        <f>IF(('Tillegg- Inndata GoF'!G96) = 0, 0,1.833*('Tillegg- Inndata GoF'!G96*('Tillegg- Inndata GoF'!L96*0.5+'Tillegg- Inndata GoF'!M96*0.8)*AG98*_xlfn.XLOOKUP(51, År_etter_ferdigstillelse,  f_tid_x_f_tek_d_0_01)))</f>
        <v>0</v>
      </c>
      <c r="AE98" s="333" cm="1">
        <f t="array" ref="AE98">IF(('Tillegg- Inndata GoF'!G96) = 0, 0,-0.8*('Tillegg- Inndata GoF'!G96)*AH98*('Tillegg- Inndata GoF'!E96/'Tillegg- Inndata GoF'!G96)*_xlfn.XLOOKUP(51, År_etter_ferdigstillelse,  IF(LEFT('Tillegg- Inndata GoF'!B96, 2)= 49, f_tid_x_f_tek_d_0_037, f_tid_x_f_tek_d_0_01)))</f>
        <v>0</v>
      </c>
      <c r="AF98" s="338" cm="1">
        <f t="array" ref="AF98">IF(('Tillegg- Inndata GoF'!G96) = 0, 0,-0.1*('Tillegg- Inndata GoF'!G96)*AI98*('Tillegg- Inndata GoF'!E96/'Tillegg- Inndata GoF'!G96)*_xlfn.XLOOKUP(51, År_etter_ferdigstillelse,  IF(LEFT('Tillegg- Inndata GoF'!B96, 2)= 49, f_tid_x_f_tek_d_0_037, f_tid_x_f_tek_d_0_01)))</f>
        <v>0</v>
      </c>
      <c r="AG98" s="572">
        <f>IF(('Tillegg- Inndata GoF'!G96) = 0, 0,'Tillegg- Inndata GoF'!X96*Faktorer!$Z$58)</f>
        <v>0</v>
      </c>
      <c r="AH98" s="573">
        <f>IF(('Tillegg- Inndata GoF'!G96) = 0, 0,'Tillegg- Inndata GoF'!Z96+('Tillegg- Inndata GoF'!X96+'Tillegg- Inndata GoF'!Y96)*(1-Faktorer!$Z$58)*0.5)</f>
        <v>0</v>
      </c>
      <c r="AI98" s="574">
        <f>IF(('Tillegg- Inndata GoF'!G96) = 0, 0,'Tillegg- Inndata GoF'!AA96+('Tillegg- Inndata GoF'!X96+'Tillegg- Inndata GoF'!Y96)*(1-Faktorer!$Z$58)*0.5)</f>
        <v>0</v>
      </c>
      <c r="AK98" s="90">
        <f t="shared" si="2"/>
        <v>0</v>
      </c>
      <c r="AL98" s="91">
        <f>'Tillegg- Res. detaljert GoF'!N98</f>
        <v>0</v>
      </c>
      <c r="AM98" s="91" t="str">
        <f>IF(F98=0,"",('Tillegg- Inndata GoF'!E98+'Tillegg- Inndata GoF'!F98)*ROUNDDOWN('Tillegg- Inndata GoF'!I98,0)*(1+'Tillegg- Inndata GoF'!K98))</f>
        <v/>
      </c>
    </row>
    <row r="99" spans="2:39">
      <c r="B99" s="327">
        <f>'Tillegg- Inndata GoF'!B97</f>
        <v>0</v>
      </c>
      <c r="C99" s="328">
        <f>'Tillegg- Inndata GoF'!C97</f>
        <v>0</v>
      </c>
      <c r="D99" s="329">
        <f>'Tillegg- Inndata GoF'!D97</f>
        <v>0</v>
      </c>
      <c r="E99" s="661" cm="1">
        <f t="array" ref="E99">SUM(IFERROR(F99:AF99,0))</f>
        <v>0</v>
      </c>
      <c r="F99" s="330">
        <f>'Tillegg- Inndata GoF'!E97</f>
        <v>0</v>
      </c>
      <c r="G99" s="330">
        <f>IF('Tillegg- Inndata GoF'!AB97="Ja", -0.8*'Tillegg- Res. detaljert GoF'!$F99, 0)</f>
        <v>0</v>
      </c>
      <c r="H99" s="330">
        <f>IF('Tillegg- Inndata GoF'!AC97="Ja", -0.4*'Tillegg- Res. detaljert GoF'!$F99, 0)</f>
        <v>0</v>
      </c>
      <c r="I99" s="330">
        <f>IF('Tillegg- Inndata GoF'!AD97="Ja", -1*'Tillegg- Res. detaljert GoF'!$F99, 0)</f>
        <v>0</v>
      </c>
      <c r="J99" s="330">
        <f>'Tillegg- Inndata GoF'!O97*'Tillegg- Inndata GoF'!P97</f>
        <v>0</v>
      </c>
      <c r="K99" s="330">
        <f>MAX(-0.75*(SUM('Tillegg- Res. detaljert GoF'!F99:J99)),-'Tillegg- Inndata GoF'!O97*'Tillegg- Inndata GoF'!Q97)</f>
        <v>0</v>
      </c>
      <c r="L99" s="330">
        <f>'Tillegg- Inndata GoF'!S97*'Tillegg- Inndata GoF'!T97</f>
        <v>0</v>
      </c>
      <c r="M99" s="330">
        <f>MAX(-0.75*(SUM('Tillegg- Res. detaljert GoF'!F99:I99,L99)),-'Tillegg- Inndata GoF'!S97*'Tillegg- Inndata GoF'!U97)</f>
        <v>0</v>
      </c>
      <c r="N99" s="331">
        <f>'Tillegg- Inndata GoF'!F97</f>
        <v>0</v>
      </c>
      <c r="O99" s="330">
        <f>'Tillegg- Inndata GoF'!O97*'Tillegg- Inndata GoF'!R97</f>
        <v>0</v>
      </c>
      <c r="P99" s="332">
        <f>'Tillegg- Inndata GoF'!S97*'Tillegg- Inndata GoF'!V97</f>
        <v>0</v>
      </c>
      <c r="Q99" s="333">
        <f>SUM(F99:J99,L99)*'Tillegg- Inndata GoF'!K97</f>
        <v>0</v>
      </c>
      <c r="R99" s="333">
        <f>(K99+M99)*'Tillegg- Inndata GoF'!K97</f>
        <v>0</v>
      </c>
      <c r="S99" s="333">
        <f>SUM(N99:P99)*'Tillegg- Inndata GoF'!K97</f>
        <v>0</v>
      </c>
      <c r="T99" s="334">
        <f>('Tillegg- Inndata GoF'!G97+'Tillegg- Inndata GoF'!O97+'Tillegg- Inndata GoF'!S97)*'Tillegg- Inndata GoF'!K97*Transport_utslipp_til_avfallshånderting_per_kg</f>
        <v>0</v>
      </c>
      <c r="U99" s="330">
        <f>IF('Tillegg- Inndata GoF'!E97 = 0, 0, 1.833*'Tillegg- Inndata GoF'!X97*'Tillegg- Inndata GoF'!K97*('Tillegg- Inndata GoF'!G97*('Tillegg- Inndata GoF'!L97*0.5+'Tillegg- Inndata GoF'!M97*0.8) + (12/44)*('Tillegg- Inndata GoF'!O97*'Tillegg- Inndata GoF'!Q97+'Tillegg- Inndata GoF'!S97*'Tillegg- Inndata GoF'!U97)))</f>
        <v>0</v>
      </c>
      <c r="V99" s="335">
        <f>IF('Tillegg- Inndata GoF'!G97 = 0, 0,  MAX(-SUM(F99:J99,L99)*'Tillegg- Inndata GoF'!L97, -0.114*IF('Tillegg- Inndata GoF'!H97 &gt; 49, _xlfn.XLOOKUP(49, År_etter_ferdigstillelse, karbon_opptak_faktor), _xlfn.XLOOKUP('Tillegg- Inndata GoF'!H97, År_etter_ferdigstillelse, karbon_opptak_faktor))*'Tillegg- Inndata GoF'!G97*'Tillegg- Inndata GoF'!L97*0.5))</f>
        <v>0</v>
      </c>
      <c r="W99" s="333">
        <f>IF('Tillegg- Inndata GoF'!G97=0,0,IF('Tillegg- Inndata GoF'!H97&gt;49,-0.064*'Tillegg- Inndata GoF'!G97*'Tillegg- Inndata GoF'!N97,-0.037*'Tillegg- Inndata GoF'!J97*'Tillegg- Inndata GoF'!N97))</f>
        <v>0</v>
      </c>
      <c r="X99" s="331" cm="1">
        <f t="array" ref="X99">IF(SUM(F99:J99,L99)=0, 0, SUM(F99:J99,L99)*(1+'Tillegg-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Y99" s="330" cm="1">
        <f t="array" ref="Y99">IF(X99=0, 0, SUM(K99,M99)*(1+'Tillegg-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Z99" s="336" cm="1">
        <f t="array" ref="Z99">IF(X99=0, 0, SUM(N99:P99)*(1+'Tillegg-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AA99" s="336" cm="1">
        <f t="array" ref="AA99">IF(X99=0, 0, ('Tillegg- Inndata GoF'!G97+'Tillegg- Inndata GoF'!O97+'Tillegg- Inndata GoF'!S97)*(1+'Tillegg- Inndata GoF'!K97)*Transport_utslipp_til_avfallshånderting_per_kg*IF('Tillegg- Inndata GoF'!H97&gt;50, 0, _xlfn.XLOOKUP('Tillegg- Inndata GoF'!H97, År_etter_ferdigstillelse, IF(VALUE(LEFT('Tillegg- Inndata GoF'!B97, 2))= 49, f_tid_x_f_tek_d_0_037_kumulativ, f_tid_x_f_tek_d_0_01_kumulativ))))</f>
        <v>0</v>
      </c>
      <c r="AB99" s="334" cm="1">
        <f t="array" ref="AB99">IF(X99=0, 0,1.833*'Tillegg- Inndata GoF'!J97*('Tillegg- Inndata GoF'!X97*_xlfn.XLOOKUP(IF('Tillegg- Inndata GoF'!I97&lt;2,'Tillegg- Inndata GoF'!H97,'Tillegg- Inndata GoF'!H97*2), År_etter_ferdigstillelse, Faktorer!$Z$7:$Z$58))*('Tillegg- Inndata GoF'!L97*0.5+'Tillegg- Inndata GoF'!M97*0.8)*_xlfn.XLOOKUP(IF('Tillegg- Inndata GoF'!I97&lt;2,'Tillegg- Inndata GoF'!H97,'Tillegg- Inndata GoF'!H97*2), År_etter_ferdigstillelse,  IF(LEFT('Tillegg- Inndata GoF'!B97, 2)= 49, f_tid_x_f_tek_d_0_037, f_tid_x_f_tek_d_0_01)))</f>
        <v>0</v>
      </c>
      <c r="AC99" s="335">
        <f>IF(('Tillegg- Inndata GoF'!G97) = 0, 0,(('Tillegg- Inndata GoF'!G97)*((AG99+AI99)*Transport_utslipp_til_avfallshånderting_per_kg)+('Tillegg- Inndata GoF'!Z97*'ZERO-B Beregning'!D199)*IF('ZERO-B Beregning'!F200=0,'ZERO-B Beregning'!D200,'ZERO-B Beregning'!F200))*_xlfn.XLOOKUP(51, År_etter_ferdigstillelse, f_tid_x_f_tek_d_0_01))</f>
        <v>0</v>
      </c>
      <c r="AD99" s="337">
        <f>IF(('Tillegg- Inndata GoF'!G97) = 0, 0,1.833*('Tillegg- Inndata GoF'!G97*('Tillegg- Inndata GoF'!L97*0.5+'Tillegg- Inndata GoF'!M97*0.8)*AG99*_xlfn.XLOOKUP(51, År_etter_ferdigstillelse,  f_tid_x_f_tek_d_0_01)))</f>
        <v>0</v>
      </c>
      <c r="AE99" s="333" cm="1">
        <f t="array" ref="AE99">IF(('Tillegg- Inndata GoF'!G97) = 0, 0,-0.8*('Tillegg- Inndata GoF'!G97)*AH99*('Tillegg- Inndata GoF'!E97/'Tillegg- Inndata GoF'!G97)*_xlfn.XLOOKUP(51, År_etter_ferdigstillelse,  IF(LEFT('Tillegg- Inndata GoF'!B97, 2)= 49, f_tid_x_f_tek_d_0_037, f_tid_x_f_tek_d_0_01)))</f>
        <v>0</v>
      </c>
      <c r="AF99" s="338" cm="1">
        <f t="array" ref="AF99">IF(('Tillegg- Inndata GoF'!G97) = 0, 0,-0.1*('Tillegg- Inndata GoF'!G97)*AI99*('Tillegg- Inndata GoF'!E97/'Tillegg- Inndata GoF'!G97)*_xlfn.XLOOKUP(51, År_etter_ferdigstillelse,  IF(LEFT('Tillegg- Inndata GoF'!B97, 2)= 49, f_tid_x_f_tek_d_0_037, f_tid_x_f_tek_d_0_01)))</f>
        <v>0</v>
      </c>
      <c r="AG99" s="572">
        <f>IF(('Tillegg- Inndata GoF'!G97) = 0, 0,'Tillegg- Inndata GoF'!X97*Faktorer!$Z$58)</f>
        <v>0</v>
      </c>
      <c r="AH99" s="573">
        <f>IF(('Tillegg- Inndata GoF'!G97) = 0, 0,'Tillegg- Inndata GoF'!Z97+('Tillegg- Inndata GoF'!X97+'Tillegg- Inndata GoF'!Y97)*(1-Faktorer!$Z$58)*0.5)</f>
        <v>0</v>
      </c>
      <c r="AI99" s="574">
        <f>IF(('Tillegg- Inndata GoF'!G97) = 0, 0,'Tillegg- Inndata GoF'!AA97+('Tillegg- Inndata GoF'!X97+'Tillegg- Inndata GoF'!Y97)*(1-Faktorer!$Z$58)*0.5)</f>
        <v>0</v>
      </c>
      <c r="AK99" s="90">
        <f t="shared" si="2"/>
        <v>0</v>
      </c>
      <c r="AL99" s="91">
        <f>'Tillegg- Res. detaljert GoF'!N99</f>
        <v>0</v>
      </c>
      <c r="AM99" s="91" t="str">
        <f>IF(F99=0,"",('Tillegg- Inndata GoF'!E99+'Tillegg- Inndata GoF'!F99)*ROUNDDOWN('Tillegg- Inndata GoF'!I99,0)*(1+'Tillegg- Inndata GoF'!K99))</f>
        <v/>
      </c>
    </row>
    <row r="100" spans="2:39">
      <c r="B100" s="327">
        <f>'Tillegg- Inndata GoF'!B98</f>
        <v>0</v>
      </c>
      <c r="C100" s="328">
        <f>'Tillegg- Inndata GoF'!C98</f>
        <v>0</v>
      </c>
      <c r="D100" s="329">
        <f>'Tillegg- Inndata GoF'!D98</f>
        <v>0</v>
      </c>
      <c r="E100" s="661" cm="1">
        <f t="array" ref="E100">SUM(IFERROR(F100:AF100,0))</f>
        <v>0</v>
      </c>
      <c r="F100" s="330">
        <f>'Tillegg- Inndata GoF'!E98</f>
        <v>0</v>
      </c>
      <c r="G100" s="330">
        <f>IF('Tillegg- Inndata GoF'!AB98="Ja", -0.8*'Tillegg- Res. detaljert GoF'!$F100, 0)</f>
        <v>0</v>
      </c>
      <c r="H100" s="330">
        <f>IF('Tillegg- Inndata GoF'!AC98="Ja", -0.4*'Tillegg- Res. detaljert GoF'!$F100, 0)</f>
        <v>0</v>
      </c>
      <c r="I100" s="330">
        <f>IF('Tillegg- Inndata GoF'!AD98="Ja", -1*'Tillegg- Res. detaljert GoF'!$F100, 0)</f>
        <v>0</v>
      </c>
      <c r="J100" s="330">
        <f>'Tillegg- Inndata GoF'!O98*'Tillegg- Inndata GoF'!P98</f>
        <v>0</v>
      </c>
      <c r="K100" s="330">
        <f>MAX(-0.75*(SUM('Tillegg- Res. detaljert GoF'!F100:J100)),-'Tillegg- Inndata GoF'!O98*'Tillegg- Inndata GoF'!Q98)</f>
        <v>0</v>
      </c>
      <c r="L100" s="330">
        <f>'Tillegg- Inndata GoF'!S98*'Tillegg- Inndata GoF'!T98</f>
        <v>0</v>
      </c>
      <c r="M100" s="330">
        <f>MAX(-0.75*(SUM('Tillegg- Res. detaljert GoF'!F100:I100,L100)),-'Tillegg- Inndata GoF'!S98*'Tillegg- Inndata GoF'!U98)</f>
        <v>0</v>
      </c>
      <c r="N100" s="331">
        <f>'Tillegg- Inndata GoF'!F98</f>
        <v>0</v>
      </c>
      <c r="O100" s="330">
        <f>'Tillegg- Inndata GoF'!O98*'Tillegg- Inndata GoF'!R98</f>
        <v>0</v>
      </c>
      <c r="P100" s="332">
        <f>'Tillegg- Inndata GoF'!S98*'Tillegg- Inndata GoF'!V98</f>
        <v>0</v>
      </c>
      <c r="Q100" s="333">
        <f>SUM(F100:J100,L100)*'Tillegg- Inndata GoF'!K98</f>
        <v>0</v>
      </c>
      <c r="R100" s="333">
        <f>(K100+M100)*'Tillegg- Inndata GoF'!K98</f>
        <v>0</v>
      </c>
      <c r="S100" s="333">
        <f>SUM(N100:P100)*'Tillegg- Inndata GoF'!K98</f>
        <v>0</v>
      </c>
      <c r="T100" s="334">
        <f>('Tillegg- Inndata GoF'!G98+'Tillegg- Inndata GoF'!O98+'Tillegg- Inndata GoF'!S98)*'Tillegg- Inndata GoF'!K98*Transport_utslipp_til_avfallshånderting_per_kg</f>
        <v>0</v>
      </c>
      <c r="U100" s="330">
        <f>IF('Tillegg- Inndata GoF'!E98 = 0, 0, 1.833*'Tillegg- Inndata GoF'!X98*'Tillegg- Inndata GoF'!K98*('Tillegg- Inndata GoF'!G98*('Tillegg- Inndata GoF'!L98*0.5+'Tillegg- Inndata GoF'!M98*0.8) + (12/44)*('Tillegg- Inndata GoF'!O98*'Tillegg- Inndata GoF'!Q98+'Tillegg- Inndata GoF'!S98*'Tillegg- Inndata GoF'!U98)))</f>
        <v>0</v>
      </c>
      <c r="V100" s="335">
        <f>IF('Tillegg- Inndata GoF'!G98 = 0, 0,  MAX(-SUM(F100:J100,L100)*'Tillegg- Inndata GoF'!L98, -0.114*IF('Tillegg- Inndata GoF'!H98 &gt; 49, _xlfn.XLOOKUP(49, År_etter_ferdigstillelse, karbon_opptak_faktor), _xlfn.XLOOKUP('Tillegg- Inndata GoF'!H98, År_etter_ferdigstillelse, karbon_opptak_faktor))*'Tillegg- Inndata GoF'!G98*'Tillegg- Inndata GoF'!L98*0.5))</f>
        <v>0</v>
      </c>
      <c r="W100" s="333">
        <f>IF('Tillegg- Inndata GoF'!G98=0,0,IF('Tillegg- Inndata GoF'!H98&gt;49,-0.064*'Tillegg- Inndata GoF'!G98*'Tillegg- Inndata GoF'!N98,-0.037*'Tillegg- Inndata GoF'!J98*'Tillegg- Inndata GoF'!N98))</f>
        <v>0</v>
      </c>
      <c r="X100" s="331" cm="1">
        <f t="array" ref="X100">IF(SUM(F100:J100,L100)=0, 0, SUM(F100:J100,L100)*(1+'Tillegg-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Y100" s="330" cm="1">
        <f t="array" ref="Y100">IF(X100=0, 0, SUM(K100,M100)*(1+'Tillegg-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Z100" s="336" cm="1">
        <f t="array" ref="Z100">IF(X100=0, 0, SUM(N100:P100)*(1+'Tillegg-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AA100" s="336" cm="1">
        <f t="array" ref="AA100">IF(X100=0, 0, ('Tillegg- Inndata GoF'!G98+'Tillegg- Inndata GoF'!O98+'Tillegg- Inndata GoF'!S98)*(1+'Tillegg- Inndata GoF'!K98)*Transport_utslipp_til_avfallshånderting_per_kg*IF('Tillegg- Inndata GoF'!H98&gt;50, 0, _xlfn.XLOOKUP('Tillegg- Inndata GoF'!H98, År_etter_ferdigstillelse, IF(VALUE(LEFT('Tillegg- Inndata GoF'!B98, 2))= 49, f_tid_x_f_tek_d_0_037_kumulativ, f_tid_x_f_tek_d_0_01_kumulativ))))</f>
        <v>0</v>
      </c>
      <c r="AB100" s="334" cm="1">
        <f t="array" ref="AB100">IF(X100=0, 0,1.833*'Tillegg- Inndata GoF'!J98*('Tillegg- Inndata GoF'!X98*_xlfn.XLOOKUP(IF('Tillegg- Inndata GoF'!I98&lt;2,'Tillegg- Inndata GoF'!H98,'Tillegg- Inndata GoF'!H98*2), År_etter_ferdigstillelse, Faktorer!$Z$7:$Z$58))*('Tillegg- Inndata GoF'!L98*0.5+'Tillegg- Inndata GoF'!M98*0.8)*_xlfn.XLOOKUP(IF('Tillegg- Inndata GoF'!I98&lt;2,'Tillegg- Inndata GoF'!H98,'Tillegg- Inndata GoF'!H98*2), År_etter_ferdigstillelse,  IF(LEFT('Tillegg- Inndata GoF'!B98, 2)= 49, f_tid_x_f_tek_d_0_037, f_tid_x_f_tek_d_0_01)))</f>
        <v>0</v>
      </c>
      <c r="AC100" s="335">
        <f>IF(('Tillegg- Inndata GoF'!G98) = 0, 0,(('Tillegg- Inndata GoF'!G98)*((AG100+AI100)*Transport_utslipp_til_avfallshånderting_per_kg)+('Tillegg- Inndata GoF'!Z98*'ZERO-B Beregning'!D200)*IF('ZERO-B Beregning'!F201=0,'ZERO-B Beregning'!D201,'ZERO-B Beregning'!F201))*_xlfn.XLOOKUP(51, År_etter_ferdigstillelse, f_tid_x_f_tek_d_0_01))</f>
        <v>0</v>
      </c>
      <c r="AD100" s="337">
        <f>IF(('Tillegg- Inndata GoF'!G98) = 0, 0,1.833*('Tillegg- Inndata GoF'!G98*('Tillegg- Inndata GoF'!L98*0.5+'Tillegg- Inndata GoF'!M98*0.8)*AG100*_xlfn.XLOOKUP(51, År_etter_ferdigstillelse,  f_tid_x_f_tek_d_0_01)))</f>
        <v>0</v>
      </c>
      <c r="AE100" s="333" cm="1">
        <f t="array" ref="AE100">IF(('Tillegg- Inndata GoF'!G98) = 0, 0,-0.8*('Tillegg- Inndata GoF'!G98)*AH100*('Tillegg- Inndata GoF'!E98/'Tillegg- Inndata GoF'!G98)*_xlfn.XLOOKUP(51, År_etter_ferdigstillelse,  IF(LEFT('Tillegg- Inndata GoF'!B98, 2)= 49, f_tid_x_f_tek_d_0_037, f_tid_x_f_tek_d_0_01)))</f>
        <v>0</v>
      </c>
      <c r="AF100" s="338" cm="1">
        <f t="array" ref="AF100">IF(('Tillegg- Inndata GoF'!G98) = 0, 0,-0.1*('Tillegg- Inndata GoF'!G98)*AI100*('Tillegg- Inndata GoF'!E98/'Tillegg- Inndata GoF'!G98)*_xlfn.XLOOKUP(51, År_etter_ferdigstillelse,  IF(LEFT('Tillegg- Inndata GoF'!B98, 2)= 49, f_tid_x_f_tek_d_0_037, f_tid_x_f_tek_d_0_01)))</f>
        <v>0</v>
      </c>
      <c r="AG100" s="572">
        <f>IF(('Tillegg- Inndata GoF'!G98) = 0, 0,'Tillegg- Inndata GoF'!X98*Faktorer!$Z$58)</f>
        <v>0</v>
      </c>
      <c r="AH100" s="573">
        <f>IF(('Tillegg- Inndata GoF'!G98) = 0, 0,'Tillegg- Inndata GoF'!Z98+('Tillegg- Inndata GoF'!X98+'Tillegg- Inndata GoF'!Y98)*(1-Faktorer!$Z$58)*0.5)</f>
        <v>0</v>
      </c>
      <c r="AI100" s="574">
        <f>IF(('Tillegg- Inndata GoF'!G98) = 0, 0,'Tillegg- Inndata GoF'!AA98+('Tillegg- Inndata GoF'!X98+'Tillegg- Inndata GoF'!Y98)*(1-Faktorer!$Z$58)*0.5)</f>
        <v>0</v>
      </c>
      <c r="AK100" s="90">
        <f t="shared" si="2"/>
        <v>0</v>
      </c>
      <c r="AL100" s="91">
        <f>'Tillegg- Res. detaljert GoF'!N100</f>
        <v>0</v>
      </c>
      <c r="AM100" s="91" t="str">
        <f>IF(F100=0,"",('Tillegg- Inndata GoF'!E100+'Tillegg- Inndata GoF'!F100)*ROUNDDOWN('Tillegg- Inndata GoF'!I100,0)*(1+'Tillegg- Inndata GoF'!K100))</f>
        <v/>
      </c>
    </row>
    <row r="101" spans="2:39">
      <c r="B101" s="327">
        <f>'Tillegg- Inndata GoF'!B99</f>
        <v>0</v>
      </c>
      <c r="C101" s="328">
        <f>'Tillegg- Inndata GoF'!C99</f>
        <v>0</v>
      </c>
      <c r="D101" s="329">
        <f>'Tillegg- Inndata GoF'!D99</f>
        <v>0</v>
      </c>
      <c r="E101" s="661" cm="1">
        <f t="array" ref="E101">SUM(IFERROR(F101:AF101,0))</f>
        <v>0</v>
      </c>
      <c r="F101" s="330">
        <f>'Tillegg- Inndata GoF'!E99</f>
        <v>0</v>
      </c>
      <c r="G101" s="330">
        <f>IF('Tillegg- Inndata GoF'!AB99="Ja", -0.8*'Tillegg- Res. detaljert GoF'!$F101, 0)</f>
        <v>0</v>
      </c>
      <c r="H101" s="330">
        <f>IF('Tillegg- Inndata GoF'!AC99="Ja", -0.4*'Tillegg- Res. detaljert GoF'!$F101, 0)</f>
        <v>0</v>
      </c>
      <c r="I101" s="330">
        <f>IF('Tillegg- Inndata GoF'!AD99="Ja", -1*'Tillegg- Res. detaljert GoF'!$F101, 0)</f>
        <v>0</v>
      </c>
      <c r="J101" s="330">
        <f>'Tillegg- Inndata GoF'!O99*'Tillegg- Inndata GoF'!P99</f>
        <v>0</v>
      </c>
      <c r="K101" s="330">
        <f>MAX(-0.75*(SUM('Tillegg- Res. detaljert GoF'!F101:J101)),-'Tillegg- Inndata GoF'!O99*'Tillegg- Inndata GoF'!Q99)</f>
        <v>0</v>
      </c>
      <c r="L101" s="330">
        <f>'Tillegg- Inndata GoF'!S99*'Tillegg- Inndata GoF'!T99</f>
        <v>0</v>
      </c>
      <c r="M101" s="330">
        <f>MAX(-0.75*(SUM('Tillegg- Res. detaljert GoF'!F101:I101,L101)),-'Tillegg- Inndata GoF'!S99*'Tillegg- Inndata GoF'!U99)</f>
        <v>0</v>
      </c>
      <c r="N101" s="331">
        <f>'Tillegg- Inndata GoF'!F99</f>
        <v>0</v>
      </c>
      <c r="O101" s="330">
        <f>'Tillegg- Inndata GoF'!O99*'Tillegg- Inndata GoF'!R99</f>
        <v>0</v>
      </c>
      <c r="P101" s="332">
        <f>'Tillegg- Inndata GoF'!S99*'Tillegg- Inndata GoF'!V99</f>
        <v>0</v>
      </c>
      <c r="Q101" s="333">
        <f>SUM(F101:J101,L101)*'Tillegg- Inndata GoF'!K99</f>
        <v>0</v>
      </c>
      <c r="R101" s="333">
        <f>(K101+M101)*'Tillegg- Inndata GoF'!K99</f>
        <v>0</v>
      </c>
      <c r="S101" s="333">
        <f>SUM(N101:P101)*'Tillegg- Inndata GoF'!K99</f>
        <v>0</v>
      </c>
      <c r="T101" s="334">
        <f>('Tillegg- Inndata GoF'!G99+'Tillegg- Inndata GoF'!O99+'Tillegg- Inndata GoF'!S99)*'Tillegg- Inndata GoF'!K99*Transport_utslipp_til_avfallshånderting_per_kg</f>
        <v>0</v>
      </c>
      <c r="U101" s="330">
        <f>IF('Tillegg- Inndata GoF'!E99 = 0, 0, 1.833*'Tillegg- Inndata GoF'!X99*'Tillegg- Inndata GoF'!K99*('Tillegg- Inndata GoF'!G99*('Tillegg- Inndata GoF'!L99*0.5+'Tillegg- Inndata GoF'!M99*0.8) + (12/44)*('Tillegg- Inndata GoF'!O99*'Tillegg- Inndata GoF'!Q99+'Tillegg- Inndata GoF'!S99*'Tillegg- Inndata GoF'!U99)))</f>
        <v>0</v>
      </c>
      <c r="V101" s="335">
        <f>IF('Tillegg- Inndata GoF'!G99 = 0, 0,  MAX(-SUM(F101:J101,L101)*'Tillegg- Inndata GoF'!L99, -0.114*IF('Tillegg- Inndata GoF'!H99 &gt; 49, _xlfn.XLOOKUP(49, År_etter_ferdigstillelse, karbon_opptak_faktor), _xlfn.XLOOKUP('Tillegg- Inndata GoF'!H99, År_etter_ferdigstillelse, karbon_opptak_faktor))*'Tillegg- Inndata GoF'!G99*'Tillegg- Inndata GoF'!L99*0.5))</f>
        <v>0</v>
      </c>
      <c r="W101" s="333">
        <f>IF('Tillegg- Inndata GoF'!G99=0,0,IF('Tillegg- Inndata GoF'!H99&gt;49,-0.064*'Tillegg- Inndata GoF'!G99*'Tillegg- Inndata GoF'!N99,-0.037*'Tillegg- Inndata GoF'!J99*'Tillegg- Inndata GoF'!N99))</f>
        <v>0</v>
      </c>
      <c r="X101" s="331" cm="1">
        <f t="array" ref="X101">IF(SUM(F101:J101,L101)=0, 0, SUM(F101:J101,L101)*(1+'Tillegg-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Y101" s="330" cm="1">
        <f t="array" ref="Y101">IF(X101=0, 0, SUM(K101,M101)*(1+'Tillegg-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Z101" s="336" cm="1">
        <f t="array" ref="Z101">IF(X101=0, 0, SUM(N101:P101)*(1+'Tillegg-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AA101" s="336" cm="1">
        <f t="array" ref="AA101">IF(X101=0, 0, ('Tillegg- Inndata GoF'!G99+'Tillegg- Inndata GoF'!O99+'Tillegg- Inndata GoF'!S99)*(1+'Tillegg- Inndata GoF'!K99)*Transport_utslipp_til_avfallshånderting_per_kg*IF('Tillegg- Inndata GoF'!H99&gt;50, 0, _xlfn.XLOOKUP('Tillegg- Inndata GoF'!H99, År_etter_ferdigstillelse, IF(VALUE(LEFT('Tillegg- Inndata GoF'!B99, 2))= 49, f_tid_x_f_tek_d_0_037_kumulativ, f_tid_x_f_tek_d_0_01_kumulativ))))</f>
        <v>0</v>
      </c>
      <c r="AB101" s="334" cm="1">
        <f t="array" ref="AB101">IF(X101=0, 0,1.833*'Tillegg- Inndata GoF'!J99*('Tillegg- Inndata GoF'!X99*_xlfn.XLOOKUP(IF('Tillegg- Inndata GoF'!I99&lt;2,'Tillegg- Inndata GoF'!H99,'Tillegg- Inndata GoF'!H99*2), År_etter_ferdigstillelse, Faktorer!$Z$7:$Z$58))*('Tillegg- Inndata GoF'!L99*0.5+'Tillegg- Inndata GoF'!M99*0.8)*_xlfn.XLOOKUP(IF('Tillegg- Inndata GoF'!I99&lt;2,'Tillegg- Inndata GoF'!H99,'Tillegg- Inndata GoF'!H99*2), År_etter_ferdigstillelse,  IF(LEFT('Tillegg- Inndata GoF'!B99, 2)= 49, f_tid_x_f_tek_d_0_037, f_tid_x_f_tek_d_0_01)))</f>
        <v>0</v>
      </c>
      <c r="AC101" s="335">
        <f>IF(('Tillegg- Inndata GoF'!G99) = 0, 0,(('Tillegg- Inndata GoF'!G99)*((AG101+AI101)*Transport_utslipp_til_avfallshånderting_per_kg)+('Tillegg- Inndata GoF'!Z99*'ZERO-B Beregning'!D201)*IF('ZERO-B Beregning'!F202=0,'ZERO-B Beregning'!D202,'ZERO-B Beregning'!F202))*_xlfn.XLOOKUP(51, År_etter_ferdigstillelse, f_tid_x_f_tek_d_0_01))</f>
        <v>0</v>
      </c>
      <c r="AD101" s="337">
        <f>IF(('Tillegg- Inndata GoF'!G99) = 0, 0,1.833*('Tillegg- Inndata GoF'!G99*('Tillegg- Inndata GoF'!L99*0.5+'Tillegg- Inndata GoF'!M99*0.8)*AG101*_xlfn.XLOOKUP(51, År_etter_ferdigstillelse,  f_tid_x_f_tek_d_0_01)))</f>
        <v>0</v>
      </c>
      <c r="AE101" s="333" cm="1">
        <f t="array" ref="AE101">IF(('Tillegg- Inndata GoF'!G99) = 0, 0,-0.8*('Tillegg- Inndata GoF'!G99)*AH101*('Tillegg- Inndata GoF'!E99/'Tillegg- Inndata GoF'!G99)*_xlfn.XLOOKUP(51, År_etter_ferdigstillelse,  IF(LEFT('Tillegg- Inndata GoF'!B99, 2)= 49, f_tid_x_f_tek_d_0_037, f_tid_x_f_tek_d_0_01)))</f>
        <v>0</v>
      </c>
      <c r="AF101" s="338" cm="1">
        <f t="array" ref="AF101">IF(('Tillegg- Inndata GoF'!G99) = 0, 0,-0.1*('Tillegg- Inndata GoF'!G99)*AI101*('Tillegg- Inndata GoF'!E99/'Tillegg- Inndata GoF'!G99)*_xlfn.XLOOKUP(51, År_etter_ferdigstillelse,  IF(LEFT('Tillegg- Inndata GoF'!B99, 2)= 49, f_tid_x_f_tek_d_0_037, f_tid_x_f_tek_d_0_01)))</f>
        <v>0</v>
      </c>
      <c r="AG101" s="572">
        <f>IF(('Tillegg- Inndata GoF'!G99) = 0, 0,'Tillegg- Inndata GoF'!X99*Faktorer!$Z$58)</f>
        <v>0</v>
      </c>
      <c r="AH101" s="573">
        <f>IF(('Tillegg- Inndata GoF'!G99) = 0, 0,'Tillegg- Inndata GoF'!Z99+('Tillegg- Inndata GoF'!X99+'Tillegg- Inndata GoF'!Y99)*(1-Faktorer!$Z$58)*0.5)</f>
        <v>0</v>
      </c>
      <c r="AI101" s="574">
        <f>IF(('Tillegg- Inndata GoF'!G99) = 0, 0,'Tillegg- Inndata GoF'!AA99+('Tillegg- Inndata GoF'!X99+'Tillegg- Inndata GoF'!Y99)*(1-Faktorer!$Z$58)*0.5)</f>
        <v>0</v>
      </c>
      <c r="AK101" s="90">
        <f t="shared" si="2"/>
        <v>0</v>
      </c>
      <c r="AL101" s="91">
        <f>'Tillegg- Res. detaljert GoF'!N101</f>
        <v>0</v>
      </c>
      <c r="AM101" s="91" t="str">
        <f>IF(F101=0,"",('Tillegg- Inndata GoF'!E101+'Tillegg- Inndata GoF'!F101)*ROUNDDOWN('Tillegg- Inndata GoF'!I101,0)*(1+'Tillegg- Inndata GoF'!K101))</f>
        <v/>
      </c>
    </row>
    <row r="102" spans="2:39">
      <c r="B102" s="327">
        <f>'Tillegg- Inndata GoF'!B100</f>
        <v>0</v>
      </c>
      <c r="C102" s="328">
        <f>'Tillegg- Inndata GoF'!C100</f>
        <v>0</v>
      </c>
      <c r="D102" s="329">
        <f>'Tillegg- Inndata GoF'!D100</f>
        <v>0</v>
      </c>
      <c r="E102" s="661" cm="1">
        <f t="array" ref="E102">SUM(IFERROR(F102:AF102,0))</f>
        <v>0</v>
      </c>
      <c r="F102" s="330">
        <f>'Tillegg- Inndata GoF'!E100</f>
        <v>0</v>
      </c>
      <c r="G102" s="330">
        <f>IF('Tillegg- Inndata GoF'!AB100="Ja", -0.8*'Tillegg- Res. detaljert GoF'!$F102, 0)</f>
        <v>0</v>
      </c>
      <c r="H102" s="330">
        <f>IF('Tillegg- Inndata GoF'!AC100="Ja", -0.4*'Tillegg- Res. detaljert GoF'!$F102, 0)</f>
        <v>0</v>
      </c>
      <c r="I102" s="330">
        <f>IF('Tillegg- Inndata GoF'!AD100="Ja", -1*'Tillegg- Res. detaljert GoF'!$F102, 0)</f>
        <v>0</v>
      </c>
      <c r="J102" s="330">
        <f>'Tillegg- Inndata GoF'!O100*'Tillegg- Inndata GoF'!P100</f>
        <v>0</v>
      </c>
      <c r="K102" s="330">
        <f>MAX(-0.75*(SUM('Tillegg- Res. detaljert GoF'!F102:J102)),-'Tillegg- Inndata GoF'!O100*'Tillegg- Inndata GoF'!Q100)</f>
        <v>0</v>
      </c>
      <c r="L102" s="330">
        <f>'Tillegg- Inndata GoF'!S100*'Tillegg- Inndata GoF'!T100</f>
        <v>0</v>
      </c>
      <c r="M102" s="330">
        <f>MAX(-0.75*(SUM('Tillegg- Res. detaljert GoF'!F102:I102,L102)),-'Tillegg- Inndata GoF'!S100*'Tillegg- Inndata GoF'!U100)</f>
        <v>0</v>
      </c>
      <c r="N102" s="331">
        <f>'Tillegg- Inndata GoF'!F100</f>
        <v>0</v>
      </c>
      <c r="O102" s="330">
        <f>'Tillegg- Inndata GoF'!O100*'Tillegg- Inndata GoF'!R100</f>
        <v>0</v>
      </c>
      <c r="P102" s="332">
        <f>'Tillegg- Inndata GoF'!S100*'Tillegg- Inndata GoF'!V100</f>
        <v>0</v>
      </c>
      <c r="Q102" s="333">
        <f>SUM(F102:J102,L102)*'Tillegg- Inndata GoF'!K100</f>
        <v>0</v>
      </c>
      <c r="R102" s="333">
        <f>(K102+M102)*'Tillegg- Inndata GoF'!K100</f>
        <v>0</v>
      </c>
      <c r="S102" s="333">
        <f>SUM(N102:P102)*'Tillegg- Inndata GoF'!K100</f>
        <v>0</v>
      </c>
      <c r="T102" s="334">
        <f>('Tillegg- Inndata GoF'!G100+'Tillegg- Inndata GoF'!O100+'Tillegg- Inndata GoF'!S100)*'Tillegg- Inndata GoF'!K100*Transport_utslipp_til_avfallshånderting_per_kg</f>
        <v>0</v>
      </c>
      <c r="U102" s="330">
        <f>IF('Tillegg- Inndata GoF'!E100 = 0, 0, 1.833*'Tillegg- Inndata GoF'!X100*'Tillegg- Inndata GoF'!K100*('Tillegg- Inndata GoF'!G100*('Tillegg- Inndata GoF'!L100*0.5+'Tillegg- Inndata GoF'!M100*0.8) + (12/44)*('Tillegg- Inndata GoF'!O100*'Tillegg- Inndata GoF'!Q100+'Tillegg- Inndata GoF'!S100*'Tillegg- Inndata GoF'!U100)))</f>
        <v>0</v>
      </c>
      <c r="V102" s="335">
        <f>IF('Tillegg- Inndata GoF'!G100 = 0, 0,  MAX(-SUM(F102:J102,L102)*'Tillegg- Inndata GoF'!L100, -0.114*IF('Tillegg- Inndata GoF'!H100 &gt; 49, _xlfn.XLOOKUP(49, År_etter_ferdigstillelse, karbon_opptak_faktor), _xlfn.XLOOKUP('Tillegg- Inndata GoF'!H100, År_etter_ferdigstillelse, karbon_opptak_faktor))*'Tillegg- Inndata GoF'!G100*'Tillegg- Inndata GoF'!L100*0.5))</f>
        <v>0</v>
      </c>
      <c r="W102" s="333">
        <f>IF('Tillegg- Inndata GoF'!G100=0,0,IF('Tillegg- Inndata GoF'!H100&gt;49,-0.064*'Tillegg- Inndata GoF'!G100*'Tillegg- Inndata GoF'!N100,-0.037*'Tillegg- Inndata GoF'!J100*'Tillegg- Inndata GoF'!N100))</f>
        <v>0</v>
      </c>
      <c r="X102" s="331" cm="1">
        <f t="array" ref="X102">IF(SUM(F102:J102,L102)=0, 0, SUM(F102:J102,L102)*(1+'Tillegg-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Y102" s="330" cm="1">
        <f t="array" ref="Y102">IF(X102=0, 0, SUM(K102,M102)*(1+'Tillegg-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Z102" s="336" cm="1">
        <f t="array" ref="Z102">IF(X102=0, 0, SUM(N102:P102)*(1+'Tillegg-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AA102" s="336" cm="1">
        <f t="array" ref="AA102">IF(X102=0, 0, ('Tillegg- Inndata GoF'!G100+'Tillegg- Inndata GoF'!O100+'Tillegg- Inndata GoF'!S100)*(1+'Tillegg- Inndata GoF'!K100)*Transport_utslipp_til_avfallshånderting_per_kg*IF('Tillegg- Inndata GoF'!H100&gt;50, 0, _xlfn.XLOOKUP('Tillegg- Inndata GoF'!H100, År_etter_ferdigstillelse, IF(VALUE(LEFT('Tillegg- Inndata GoF'!B100, 2))= 49, f_tid_x_f_tek_d_0_037_kumulativ, f_tid_x_f_tek_d_0_01_kumulativ))))</f>
        <v>0</v>
      </c>
      <c r="AB102" s="334" cm="1">
        <f t="array" ref="AB102">IF(X102=0, 0,1.833*'Tillegg- Inndata GoF'!J100*('Tillegg- Inndata GoF'!X100*_xlfn.XLOOKUP(IF('Tillegg- Inndata GoF'!I100&lt;2,'Tillegg- Inndata GoF'!H100,'Tillegg- Inndata GoF'!H100*2), År_etter_ferdigstillelse, Faktorer!$Z$7:$Z$58))*('Tillegg- Inndata GoF'!L100*0.5+'Tillegg- Inndata GoF'!M100*0.8)*_xlfn.XLOOKUP(IF('Tillegg- Inndata GoF'!I100&lt;2,'Tillegg- Inndata GoF'!H100,'Tillegg- Inndata GoF'!H100*2), År_etter_ferdigstillelse,  IF(LEFT('Tillegg- Inndata GoF'!B100, 2)= 49, f_tid_x_f_tek_d_0_037, f_tid_x_f_tek_d_0_01)))</f>
        <v>0</v>
      </c>
      <c r="AC102" s="335">
        <f>IF(('Tillegg- Inndata GoF'!G100) = 0, 0,(('Tillegg- Inndata GoF'!G100)*((AG102+AI102)*Transport_utslipp_til_avfallshånderting_per_kg)+('Tillegg- Inndata GoF'!Z100*'ZERO-B Beregning'!D202)*IF('ZERO-B Beregning'!F203=0,'ZERO-B Beregning'!D203,'ZERO-B Beregning'!F203))*_xlfn.XLOOKUP(51, År_etter_ferdigstillelse, f_tid_x_f_tek_d_0_01))</f>
        <v>0</v>
      </c>
      <c r="AD102" s="337">
        <f>IF(('Tillegg- Inndata GoF'!G100) = 0, 0,1.833*('Tillegg- Inndata GoF'!G100*('Tillegg- Inndata GoF'!L100*0.5+'Tillegg- Inndata GoF'!M100*0.8)*AG102*_xlfn.XLOOKUP(51, År_etter_ferdigstillelse,  f_tid_x_f_tek_d_0_01)))</f>
        <v>0</v>
      </c>
      <c r="AE102" s="333" cm="1">
        <f t="array" ref="AE102">IF(('Tillegg- Inndata GoF'!G100) = 0, 0,-0.8*('Tillegg- Inndata GoF'!G100)*AH102*('Tillegg- Inndata GoF'!E100/'Tillegg- Inndata GoF'!G100)*_xlfn.XLOOKUP(51, År_etter_ferdigstillelse,  IF(LEFT('Tillegg- Inndata GoF'!B100, 2)= 49, f_tid_x_f_tek_d_0_037, f_tid_x_f_tek_d_0_01)))</f>
        <v>0</v>
      </c>
      <c r="AF102" s="338" cm="1">
        <f t="array" ref="AF102">IF(('Tillegg- Inndata GoF'!G100) = 0, 0,-0.1*('Tillegg- Inndata GoF'!G100)*AI102*('Tillegg- Inndata GoF'!E100/'Tillegg- Inndata GoF'!G100)*_xlfn.XLOOKUP(51, År_etter_ferdigstillelse,  IF(LEFT('Tillegg- Inndata GoF'!B100, 2)= 49, f_tid_x_f_tek_d_0_037, f_tid_x_f_tek_d_0_01)))</f>
        <v>0</v>
      </c>
      <c r="AG102" s="572">
        <f>IF(('Tillegg- Inndata GoF'!G100) = 0, 0,'Tillegg- Inndata GoF'!X100*Faktorer!$Z$58)</f>
        <v>0</v>
      </c>
      <c r="AH102" s="573">
        <f>IF(('Tillegg- Inndata GoF'!G100) = 0, 0,'Tillegg- Inndata GoF'!Z100+('Tillegg- Inndata GoF'!X100+'Tillegg- Inndata GoF'!Y100)*(1-Faktorer!$Z$58)*0.5)</f>
        <v>0</v>
      </c>
      <c r="AI102" s="574">
        <f>IF(('Tillegg- Inndata GoF'!G100) = 0, 0,'Tillegg- Inndata GoF'!AA100+('Tillegg- Inndata GoF'!X100+'Tillegg- Inndata GoF'!Y100)*(1-Faktorer!$Z$58)*0.5)</f>
        <v>0</v>
      </c>
      <c r="AK102" s="90">
        <f t="shared" si="2"/>
        <v>0</v>
      </c>
      <c r="AL102" s="91">
        <f>'Tillegg- Res. detaljert GoF'!N102</f>
        <v>0</v>
      </c>
      <c r="AM102" s="91" t="str">
        <f>IF(F102=0,"",('Tillegg- Inndata GoF'!E102+'Tillegg- Inndata GoF'!F102)*ROUNDDOWN('Tillegg- Inndata GoF'!I102,0)*(1+'Tillegg- Inndata GoF'!K102))</f>
        <v/>
      </c>
    </row>
    <row r="103" spans="2:39">
      <c r="B103" s="327">
        <f>'Tillegg- Inndata GoF'!B101</f>
        <v>0</v>
      </c>
      <c r="C103" s="328">
        <f>'Tillegg- Inndata GoF'!C101</f>
        <v>0</v>
      </c>
      <c r="D103" s="329">
        <f>'Tillegg- Inndata GoF'!D101</f>
        <v>0</v>
      </c>
      <c r="E103" s="661" cm="1">
        <f t="array" ref="E103">SUM(IFERROR(F103:AF103,0))</f>
        <v>0</v>
      </c>
      <c r="F103" s="330">
        <f>'Tillegg- Inndata GoF'!E101</f>
        <v>0</v>
      </c>
      <c r="G103" s="330">
        <f>IF('Tillegg- Inndata GoF'!AB101="Ja", -0.8*'Tillegg- Res. detaljert GoF'!$F103, 0)</f>
        <v>0</v>
      </c>
      <c r="H103" s="330">
        <f>IF('Tillegg- Inndata GoF'!AC101="Ja", -0.4*'Tillegg- Res. detaljert GoF'!$F103, 0)</f>
        <v>0</v>
      </c>
      <c r="I103" s="330">
        <f>IF('Tillegg- Inndata GoF'!AD101="Ja", -1*'Tillegg- Res. detaljert GoF'!$F103, 0)</f>
        <v>0</v>
      </c>
      <c r="J103" s="330">
        <f>'Tillegg- Inndata GoF'!O101*'Tillegg- Inndata GoF'!P101</f>
        <v>0</v>
      </c>
      <c r="K103" s="330">
        <f>MAX(-0.75*(SUM('Tillegg- Res. detaljert GoF'!F103:J103)),-'Tillegg- Inndata GoF'!O101*'Tillegg- Inndata GoF'!Q101)</f>
        <v>0</v>
      </c>
      <c r="L103" s="330">
        <f>'Tillegg- Inndata GoF'!S101*'Tillegg- Inndata GoF'!T101</f>
        <v>0</v>
      </c>
      <c r="M103" s="330">
        <f>MAX(-0.75*(SUM('Tillegg- Res. detaljert GoF'!F103:I103,L103)),-'Tillegg- Inndata GoF'!S101*'Tillegg- Inndata GoF'!U101)</f>
        <v>0</v>
      </c>
      <c r="N103" s="331">
        <f>'Tillegg- Inndata GoF'!F101</f>
        <v>0</v>
      </c>
      <c r="O103" s="330">
        <f>'Tillegg- Inndata GoF'!O101*'Tillegg- Inndata GoF'!R101</f>
        <v>0</v>
      </c>
      <c r="P103" s="332">
        <f>'Tillegg- Inndata GoF'!S101*'Tillegg- Inndata GoF'!V101</f>
        <v>0</v>
      </c>
      <c r="Q103" s="333">
        <f>SUM(F103:J103,L103)*'Tillegg- Inndata GoF'!K101</f>
        <v>0</v>
      </c>
      <c r="R103" s="333">
        <f>(K103+M103)*'Tillegg- Inndata GoF'!K101</f>
        <v>0</v>
      </c>
      <c r="S103" s="333">
        <f>SUM(N103:P103)*'Tillegg- Inndata GoF'!K101</f>
        <v>0</v>
      </c>
      <c r="T103" s="334">
        <f>('Tillegg- Inndata GoF'!G101+'Tillegg- Inndata GoF'!O101+'Tillegg- Inndata GoF'!S101)*'Tillegg- Inndata GoF'!K101*Transport_utslipp_til_avfallshånderting_per_kg</f>
        <v>0</v>
      </c>
      <c r="U103" s="330">
        <f>IF('Tillegg- Inndata GoF'!E101 = 0, 0, 1.833*'Tillegg- Inndata GoF'!X101*'Tillegg- Inndata GoF'!K101*('Tillegg- Inndata GoF'!G101*('Tillegg- Inndata GoF'!L101*0.5+'Tillegg- Inndata GoF'!M101*0.8) + (12/44)*('Tillegg- Inndata GoF'!O101*'Tillegg- Inndata GoF'!Q101+'Tillegg- Inndata GoF'!S101*'Tillegg- Inndata GoF'!U101)))</f>
        <v>0</v>
      </c>
      <c r="V103" s="335">
        <f>IF('Tillegg- Inndata GoF'!G101 = 0, 0,  MAX(-SUM(F103:J103,L103)*'Tillegg- Inndata GoF'!L101, -0.114*IF('Tillegg- Inndata GoF'!H101 &gt; 49, _xlfn.XLOOKUP(49, År_etter_ferdigstillelse, karbon_opptak_faktor), _xlfn.XLOOKUP('Tillegg- Inndata GoF'!H101, År_etter_ferdigstillelse, karbon_opptak_faktor))*'Tillegg- Inndata GoF'!G101*'Tillegg- Inndata GoF'!L101*0.5))</f>
        <v>0</v>
      </c>
      <c r="W103" s="333">
        <f>IF('Tillegg- Inndata GoF'!G101=0,0,IF('Tillegg- Inndata GoF'!H101&gt;49,-0.064*'Tillegg- Inndata GoF'!G101*'Tillegg- Inndata GoF'!N101,-0.037*'Tillegg- Inndata GoF'!J101*'Tillegg- Inndata GoF'!N101))</f>
        <v>0</v>
      </c>
      <c r="X103" s="331" cm="1">
        <f t="array" ref="X103">IF(SUM(F103:J103,L103)=0, 0, SUM(F103:J103,L103)*(1+'Tillegg-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Y103" s="330" cm="1">
        <f t="array" ref="Y103">IF(X103=0, 0, SUM(K103,M103)*(1+'Tillegg-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Z103" s="336" cm="1">
        <f t="array" ref="Z103">IF(X103=0, 0, SUM(N103:P103)*(1+'Tillegg-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AA103" s="336" cm="1">
        <f t="array" ref="AA103">IF(X103=0, 0, ('Tillegg- Inndata GoF'!G101+'Tillegg- Inndata GoF'!O101+'Tillegg- Inndata GoF'!S101)*(1+'Tillegg- Inndata GoF'!K101)*Transport_utslipp_til_avfallshånderting_per_kg*IF('Tillegg- Inndata GoF'!H101&gt;50, 0, _xlfn.XLOOKUP('Tillegg- Inndata GoF'!H101, År_etter_ferdigstillelse, IF(VALUE(LEFT('Tillegg- Inndata GoF'!B101, 2))= 49, f_tid_x_f_tek_d_0_037_kumulativ, f_tid_x_f_tek_d_0_01_kumulativ))))</f>
        <v>0</v>
      </c>
      <c r="AB103" s="334" cm="1">
        <f t="array" ref="AB103">IF(X103=0, 0,1.833*'Tillegg- Inndata GoF'!J101*('Tillegg- Inndata GoF'!X101*_xlfn.XLOOKUP(IF('Tillegg- Inndata GoF'!I101&lt;2,'Tillegg- Inndata GoF'!H101,'Tillegg- Inndata GoF'!H101*2), År_etter_ferdigstillelse, Faktorer!$Z$7:$Z$58))*('Tillegg- Inndata GoF'!L101*0.5+'Tillegg- Inndata GoF'!M101*0.8)*_xlfn.XLOOKUP(IF('Tillegg- Inndata GoF'!I101&lt;2,'Tillegg- Inndata GoF'!H101,'Tillegg- Inndata GoF'!H101*2), År_etter_ferdigstillelse,  IF(LEFT('Tillegg- Inndata GoF'!B101, 2)= 49, f_tid_x_f_tek_d_0_037, f_tid_x_f_tek_d_0_01)))</f>
        <v>0</v>
      </c>
      <c r="AC103" s="335">
        <f>IF(('Tillegg- Inndata GoF'!G101) = 0, 0,(('Tillegg- Inndata GoF'!G101)*((AG103+AI103)*Transport_utslipp_til_avfallshånderting_per_kg)+('Tillegg- Inndata GoF'!Z101*'ZERO-B Beregning'!D203)*IF('ZERO-B Beregning'!F204=0,'ZERO-B Beregning'!D204,'ZERO-B Beregning'!F204))*_xlfn.XLOOKUP(51, År_etter_ferdigstillelse, f_tid_x_f_tek_d_0_01))</f>
        <v>0</v>
      </c>
      <c r="AD103" s="337">
        <f>IF(('Tillegg- Inndata GoF'!G101) = 0, 0,1.833*('Tillegg- Inndata GoF'!G101*('Tillegg- Inndata GoF'!L101*0.5+'Tillegg- Inndata GoF'!M101*0.8)*AG103*_xlfn.XLOOKUP(51, År_etter_ferdigstillelse,  f_tid_x_f_tek_d_0_01)))</f>
        <v>0</v>
      </c>
      <c r="AE103" s="333" cm="1">
        <f t="array" ref="AE103">IF(('Tillegg- Inndata GoF'!G101) = 0, 0,-0.8*('Tillegg- Inndata GoF'!G101)*AH103*('Tillegg- Inndata GoF'!E101/'Tillegg- Inndata GoF'!G101)*_xlfn.XLOOKUP(51, År_etter_ferdigstillelse,  IF(LEFT('Tillegg- Inndata GoF'!B101, 2)= 49, f_tid_x_f_tek_d_0_037, f_tid_x_f_tek_d_0_01)))</f>
        <v>0</v>
      </c>
      <c r="AF103" s="338" cm="1">
        <f t="array" ref="AF103">IF(('Tillegg- Inndata GoF'!G101) = 0, 0,-0.1*('Tillegg- Inndata GoF'!G101)*AI103*('Tillegg- Inndata GoF'!E101/'Tillegg- Inndata GoF'!G101)*_xlfn.XLOOKUP(51, År_etter_ferdigstillelse,  IF(LEFT('Tillegg- Inndata GoF'!B101, 2)= 49, f_tid_x_f_tek_d_0_037, f_tid_x_f_tek_d_0_01)))</f>
        <v>0</v>
      </c>
      <c r="AG103" s="572">
        <f>IF(('Tillegg- Inndata GoF'!G101) = 0, 0,'Tillegg- Inndata GoF'!X101*Faktorer!$Z$58)</f>
        <v>0</v>
      </c>
      <c r="AH103" s="573">
        <f>IF(('Tillegg- Inndata GoF'!G101) = 0, 0,'Tillegg- Inndata GoF'!Z101+('Tillegg- Inndata GoF'!X101+'Tillegg- Inndata GoF'!Y101)*(1-Faktorer!$Z$58)*0.5)</f>
        <v>0</v>
      </c>
      <c r="AI103" s="574">
        <f>IF(('Tillegg- Inndata GoF'!G101) = 0, 0,'Tillegg- Inndata GoF'!AA101+('Tillegg- Inndata GoF'!X101+'Tillegg- Inndata GoF'!Y101)*(1-Faktorer!$Z$58)*0.5)</f>
        <v>0</v>
      </c>
      <c r="AK103" s="90">
        <f t="shared" si="2"/>
        <v>0</v>
      </c>
      <c r="AL103" s="91">
        <f>'Tillegg- Res. detaljert GoF'!N103</f>
        <v>0</v>
      </c>
      <c r="AM103" s="91" t="str">
        <f>IF(F103=0,"",('Tillegg- Inndata GoF'!E103+'Tillegg- Inndata GoF'!F103)*ROUNDDOWN('Tillegg- Inndata GoF'!I103,0)*(1+'Tillegg- Inndata GoF'!K103))</f>
        <v/>
      </c>
    </row>
    <row r="104" spans="2:39">
      <c r="B104" s="327">
        <f>'Tillegg- Inndata GoF'!B102</f>
        <v>0</v>
      </c>
      <c r="C104" s="328">
        <f>'Tillegg- Inndata GoF'!C102</f>
        <v>0</v>
      </c>
      <c r="D104" s="329">
        <f>'Tillegg- Inndata GoF'!D102</f>
        <v>0</v>
      </c>
      <c r="E104" s="661" cm="1">
        <f t="array" ref="E104">SUM(IFERROR(F104:AF104,0))</f>
        <v>0</v>
      </c>
      <c r="F104" s="330">
        <f>'Tillegg- Inndata GoF'!E102</f>
        <v>0</v>
      </c>
      <c r="G104" s="330">
        <f>IF('Tillegg- Inndata GoF'!AB102="Ja", -0.8*'Tillegg- Res. detaljert GoF'!$F104, 0)</f>
        <v>0</v>
      </c>
      <c r="H104" s="330">
        <f>IF('Tillegg- Inndata GoF'!AC102="Ja", -0.4*'Tillegg- Res. detaljert GoF'!$F104, 0)</f>
        <v>0</v>
      </c>
      <c r="I104" s="330">
        <f>IF('Tillegg- Inndata GoF'!AD102="Ja", -1*'Tillegg- Res. detaljert GoF'!$F104, 0)</f>
        <v>0</v>
      </c>
      <c r="J104" s="330">
        <f>'Tillegg- Inndata GoF'!O102*'Tillegg- Inndata GoF'!P102</f>
        <v>0</v>
      </c>
      <c r="K104" s="330">
        <f>MAX(-0.75*(SUM('Tillegg- Res. detaljert GoF'!F104:J104)),-'Tillegg- Inndata GoF'!O102*'Tillegg- Inndata GoF'!Q102)</f>
        <v>0</v>
      </c>
      <c r="L104" s="330">
        <f>'Tillegg- Inndata GoF'!S102*'Tillegg- Inndata GoF'!T102</f>
        <v>0</v>
      </c>
      <c r="M104" s="330">
        <f>MAX(-0.75*(SUM('Tillegg- Res. detaljert GoF'!F104:I104,L104)),-'Tillegg- Inndata GoF'!S102*'Tillegg- Inndata GoF'!U102)</f>
        <v>0</v>
      </c>
      <c r="N104" s="331">
        <f>'Tillegg- Inndata GoF'!F102</f>
        <v>0</v>
      </c>
      <c r="O104" s="330">
        <f>'Tillegg- Inndata GoF'!O102*'Tillegg- Inndata GoF'!R102</f>
        <v>0</v>
      </c>
      <c r="P104" s="332">
        <f>'Tillegg- Inndata GoF'!S102*'Tillegg- Inndata GoF'!V102</f>
        <v>0</v>
      </c>
      <c r="Q104" s="333">
        <f>SUM(F104:J104,L104)*'Tillegg- Inndata GoF'!K102</f>
        <v>0</v>
      </c>
      <c r="R104" s="333">
        <f>(K104+M104)*'Tillegg- Inndata GoF'!K102</f>
        <v>0</v>
      </c>
      <c r="S104" s="333">
        <f>SUM(N104:P104)*'Tillegg- Inndata GoF'!K102</f>
        <v>0</v>
      </c>
      <c r="T104" s="334">
        <f>('Tillegg- Inndata GoF'!G102+'Tillegg- Inndata GoF'!O102+'Tillegg- Inndata GoF'!S102)*'Tillegg- Inndata GoF'!K102*Transport_utslipp_til_avfallshånderting_per_kg</f>
        <v>0</v>
      </c>
      <c r="U104" s="330">
        <f>IF('Tillegg- Inndata GoF'!E102 = 0, 0, 1.833*'Tillegg- Inndata GoF'!X102*'Tillegg- Inndata GoF'!K102*('Tillegg- Inndata GoF'!G102*('Tillegg- Inndata GoF'!L102*0.5+'Tillegg- Inndata GoF'!M102*0.8) + (12/44)*('Tillegg- Inndata GoF'!O102*'Tillegg- Inndata GoF'!Q102+'Tillegg- Inndata GoF'!S102*'Tillegg- Inndata GoF'!U102)))</f>
        <v>0</v>
      </c>
      <c r="V104" s="335">
        <f>IF('Tillegg- Inndata GoF'!G102 = 0, 0,  MAX(-SUM(F104:J104,L104)*'Tillegg- Inndata GoF'!L102, -0.114*IF('Tillegg- Inndata GoF'!H102 &gt; 49, _xlfn.XLOOKUP(49, År_etter_ferdigstillelse, karbon_opptak_faktor), _xlfn.XLOOKUP('Tillegg- Inndata GoF'!H102, År_etter_ferdigstillelse, karbon_opptak_faktor))*'Tillegg- Inndata GoF'!G102*'Tillegg- Inndata GoF'!L102*0.5))</f>
        <v>0</v>
      </c>
      <c r="W104" s="333">
        <f>IF('Tillegg- Inndata GoF'!G102=0,0,IF('Tillegg- Inndata GoF'!H102&gt;49,-0.064*'Tillegg- Inndata GoF'!G102*'Tillegg- Inndata GoF'!N102,-0.037*'Tillegg- Inndata GoF'!J102*'Tillegg- Inndata GoF'!N102))</f>
        <v>0</v>
      </c>
      <c r="X104" s="331" cm="1">
        <f t="array" ref="X104">IF(SUM(F104:J104,L104)=0, 0, SUM(F104:J104,L104)*(1+'Tillegg-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Y104" s="330" cm="1">
        <f t="array" ref="Y104">IF(X104=0, 0, SUM(K104,M104)*(1+'Tillegg-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Z104" s="336" cm="1">
        <f t="array" ref="Z104">IF(X104=0, 0, SUM(N104:P104)*(1+'Tillegg-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AA104" s="336" cm="1">
        <f t="array" ref="AA104">IF(X104=0, 0, ('Tillegg- Inndata GoF'!G102+'Tillegg- Inndata GoF'!O102+'Tillegg- Inndata GoF'!S102)*(1+'Tillegg- Inndata GoF'!K102)*Transport_utslipp_til_avfallshånderting_per_kg*IF('Tillegg- Inndata GoF'!H102&gt;50, 0, _xlfn.XLOOKUP('Tillegg- Inndata GoF'!H102, År_etter_ferdigstillelse, IF(VALUE(LEFT('Tillegg- Inndata GoF'!B102, 2))= 49, f_tid_x_f_tek_d_0_037_kumulativ, f_tid_x_f_tek_d_0_01_kumulativ))))</f>
        <v>0</v>
      </c>
      <c r="AB104" s="334" cm="1">
        <f t="array" ref="AB104">IF(X104=0, 0,1.833*'Tillegg- Inndata GoF'!J102*('Tillegg- Inndata GoF'!X102*_xlfn.XLOOKUP(IF('Tillegg- Inndata GoF'!I102&lt;2,'Tillegg- Inndata GoF'!H102,'Tillegg- Inndata GoF'!H102*2), År_etter_ferdigstillelse, Faktorer!$Z$7:$Z$58))*('Tillegg- Inndata GoF'!L102*0.5+'Tillegg- Inndata GoF'!M102*0.8)*_xlfn.XLOOKUP(IF('Tillegg- Inndata GoF'!I102&lt;2,'Tillegg- Inndata GoF'!H102,'Tillegg- Inndata GoF'!H102*2), År_etter_ferdigstillelse,  IF(LEFT('Tillegg- Inndata GoF'!B102, 2)= 49, f_tid_x_f_tek_d_0_037, f_tid_x_f_tek_d_0_01)))</f>
        <v>0</v>
      </c>
      <c r="AC104" s="335">
        <f>IF(('Tillegg- Inndata GoF'!G102) = 0, 0,(('Tillegg- Inndata GoF'!G102)*((AG104+AI104)*Transport_utslipp_til_avfallshånderting_per_kg)+('Tillegg- Inndata GoF'!Z102*'ZERO-B Beregning'!D204)*IF('ZERO-B Beregning'!F205=0,'ZERO-B Beregning'!D205,'ZERO-B Beregning'!F205))*_xlfn.XLOOKUP(51, År_etter_ferdigstillelse, f_tid_x_f_tek_d_0_01))</f>
        <v>0</v>
      </c>
      <c r="AD104" s="337">
        <f>IF(('Tillegg- Inndata GoF'!G102) = 0, 0,1.833*('Tillegg- Inndata GoF'!G102*('Tillegg- Inndata GoF'!L102*0.5+'Tillegg- Inndata GoF'!M102*0.8)*AG104*_xlfn.XLOOKUP(51, År_etter_ferdigstillelse,  f_tid_x_f_tek_d_0_01)))</f>
        <v>0</v>
      </c>
      <c r="AE104" s="333" cm="1">
        <f t="array" ref="AE104">IF(('Tillegg- Inndata GoF'!G102) = 0, 0,-0.8*('Tillegg- Inndata GoF'!G102)*AH104*('Tillegg- Inndata GoF'!E102/'Tillegg- Inndata GoF'!G102)*_xlfn.XLOOKUP(51, År_etter_ferdigstillelse,  IF(LEFT('Tillegg- Inndata GoF'!B102, 2)= 49, f_tid_x_f_tek_d_0_037, f_tid_x_f_tek_d_0_01)))</f>
        <v>0</v>
      </c>
      <c r="AF104" s="338" cm="1">
        <f t="array" ref="AF104">IF(('Tillegg- Inndata GoF'!G102) = 0, 0,-0.1*('Tillegg- Inndata GoF'!G102)*AI104*('Tillegg- Inndata GoF'!E102/'Tillegg- Inndata GoF'!G102)*_xlfn.XLOOKUP(51, År_etter_ferdigstillelse,  IF(LEFT('Tillegg- Inndata GoF'!B102, 2)= 49, f_tid_x_f_tek_d_0_037, f_tid_x_f_tek_d_0_01)))</f>
        <v>0</v>
      </c>
      <c r="AG104" s="572">
        <f>IF(('Tillegg- Inndata GoF'!G102) = 0, 0,'Tillegg- Inndata GoF'!X102*Faktorer!$Z$58)</f>
        <v>0</v>
      </c>
      <c r="AH104" s="573">
        <f>IF(('Tillegg- Inndata GoF'!G102) = 0, 0,'Tillegg- Inndata GoF'!Z102+('Tillegg- Inndata GoF'!X102+'Tillegg- Inndata GoF'!Y102)*(1-Faktorer!$Z$58)*0.5)</f>
        <v>0</v>
      </c>
      <c r="AI104" s="574">
        <f>IF(('Tillegg- Inndata GoF'!G102) = 0, 0,'Tillegg- Inndata GoF'!AA102+('Tillegg- Inndata GoF'!X102+'Tillegg- Inndata GoF'!Y102)*(1-Faktorer!$Z$58)*0.5)</f>
        <v>0</v>
      </c>
      <c r="AK104" s="90">
        <f t="shared" si="2"/>
        <v>0</v>
      </c>
      <c r="AL104" s="91">
        <f>'Tillegg- Res. detaljert GoF'!N104</f>
        <v>0</v>
      </c>
      <c r="AM104" s="91" t="str">
        <f>IF(F104=0,"",('Tillegg- Inndata GoF'!E104+'Tillegg- Inndata GoF'!F104)*ROUNDDOWN('Tillegg- Inndata GoF'!I104,0)*(1+'Tillegg- Inndata GoF'!K104))</f>
        <v/>
      </c>
    </row>
    <row r="105" spans="2:39">
      <c r="B105" s="327">
        <f>'Tillegg- Inndata GoF'!B103</f>
        <v>0</v>
      </c>
      <c r="C105" s="328">
        <f>'Tillegg- Inndata GoF'!C103</f>
        <v>0</v>
      </c>
      <c r="D105" s="329">
        <f>'Tillegg- Inndata GoF'!D103</f>
        <v>0</v>
      </c>
      <c r="E105" s="661" cm="1">
        <f t="array" ref="E105">SUM(IFERROR(F105:AF105,0))</f>
        <v>0</v>
      </c>
      <c r="F105" s="330">
        <f>'Tillegg- Inndata GoF'!E103</f>
        <v>0</v>
      </c>
      <c r="G105" s="330">
        <f>IF('Tillegg- Inndata GoF'!AB103="Ja", -0.8*'Tillegg- Res. detaljert GoF'!$F105, 0)</f>
        <v>0</v>
      </c>
      <c r="H105" s="330">
        <f>IF('Tillegg- Inndata GoF'!AC103="Ja", -0.4*'Tillegg- Res. detaljert GoF'!$F105, 0)</f>
        <v>0</v>
      </c>
      <c r="I105" s="330">
        <f>IF('Tillegg- Inndata GoF'!AD103="Ja", -1*'Tillegg- Res. detaljert GoF'!$F105, 0)</f>
        <v>0</v>
      </c>
      <c r="J105" s="330">
        <f>'Tillegg- Inndata GoF'!O103*'Tillegg- Inndata GoF'!P103</f>
        <v>0</v>
      </c>
      <c r="K105" s="330">
        <f>MAX(-0.75*(SUM('Tillegg- Res. detaljert GoF'!F105:J105)),-'Tillegg- Inndata GoF'!O103*'Tillegg- Inndata GoF'!Q103)</f>
        <v>0</v>
      </c>
      <c r="L105" s="330">
        <f>'Tillegg- Inndata GoF'!S103*'Tillegg- Inndata GoF'!T103</f>
        <v>0</v>
      </c>
      <c r="M105" s="330">
        <f>MAX(-0.75*(SUM('Tillegg- Res. detaljert GoF'!F105:I105,L105)),-'Tillegg- Inndata GoF'!S103*'Tillegg- Inndata GoF'!U103)</f>
        <v>0</v>
      </c>
      <c r="N105" s="331">
        <f>'Tillegg- Inndata GoF'!F103</f>
        <v>0</v>
      </c>
      <c r="O105" s="330">
        <f>'Tillegg- Inndata GoF'!O103*'Tillegg- Inndata GoF'!R103</f>
        <v>0</v>
      </c>
      <c r="P105" s="332">
        <f>'Tillegg- Inndata GoF'!S103*'Tillegg- Inndata GoF'!V103</f>
        <v>0</v>
      </c>
      <c r="Q105" s="333">
        <f>SUM(F105:J105,L105)*'Tillegg- Inndata GoF'!K103</f>
        <v>0</v>
      </c>
      <c r="R105" s="333">
        <f>(K105+M105)*'Tillegg- Inndata GoF'!K103</f>
        <v>0</v>
      </c>
      <c r="S105" s="333">
        <f>SUM(N105:P105)*'Tillegg- Inndata GoF'!K103</f>
        <v>0</v>
      </c>
      <c r="T105" s="334">
        <f>('Tillegg- Inndata GoF'!G103+'Tillegg- Inndata GoF'!O103+'Tillegg- Inndata GoF'!S103)*'Tillegg- Inndata GoF'!K103*Transport_utslipp_til_avfallshånderting_per_kg</f>
        <v>0</v>
      </c>
      <c r="U105" s="330">
        <f>IF('Tillegg- Inndata GoF'!E103 = 0, 0, 1.833*'Tillegg- Inndata GoF'!X103*'Tillegg- Inndata GoF'!K103*('Tillegg- Inndata GoF'!G103*('Tillegg- Inndata GoF'!L103*0.5+'Tillegg- Inndata GoF'!M103*0.8) + (12/44)*('Tillegg- Inndata GoF'!O103*'Tillegg- Inndata GoF'!Q103+'Tillegg- Inndata GoF'!S103*'Tillegg- Inndata GoF'!U103)))</f>
        <v>0</v>
      </c>
      <c r="V105" s="335">
        <f>IF('Tillegg- Inndata GoF'!G103 = 0, 0,  MAX(-SUM(F105:J105,L105)*'Tillegg- Inndata GoF'!L103, -0.114*IF('Tillegg- Inndata GoF'!H103 &gt; 49, _xlfn.XLOOKUP(49, År_etter_ferdigstillelse, karbon_opptak_faktor), _xlfn.XLOOKUP('Tillegg- Inndata GoF'!H103, År_etter_ferdigstillelse, karbon_opptak_faktor))*'Tillegg- Inndata GoF'!G103*'Tillegg- Inndata GoF'!L103*0.5))</f>
        <v>0</v>
      </c>
      <c r="W105" s="333">
        <f>IF('Tillegg- Inndata GoF'!G103=0,0,IF('Tillegg- Inndata GoF'!H103&gt;49,-0.064*'Tillegg- Inndata GoF'!G103*'Tillegg- Inndata GoF'!N103,-0.037*'Tillegg- Inndata GoF'!J103*'Tillegg- Inndata GoF'!N103))</f>
        <v>0</v>
      </c>
      <c r="X105" s="331" cm="1">
        <f t="array" ref="X105">IF(SUM(F105:J105,L105)=0, 0, SUM(F105:J105,L105)*(1+'Tillegg-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Y105" s="330" cm="1">
        <f t="array" ref="Y105">IF(X105=0, 0, SUM(K105,M105)*(1+'Tillegg-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Z105" s="336" cm="1">
        <f t="array" ref="Z105">IF(X105=0, 0, SUM(N105:P105)*(1+'Tillegg-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AA105" s="336" cm="1">
        <f t="array" ref="AA105">IF(X105=0, 0, ('Tillegg- Inndata GoF'!G103+'Tillegg- Inndata GoF'!O103+'Tillegg- Inndata GoF'!S103)*(1+'Tillegg- Inndata GoF'!K103)*Transport_utslipp_til_avfallshånderting_per_kg*IF('Tillegg- Inndata GoF'!H103&gt;50, 0, _xlfn.XLOOKUP('Tillegg- Inndata GoF'!H103, År_etter_ferdigstillelse, IF(VALUE(LEFT('Tillegg- Inndata GoF'!B103, 2))= 49, f_tid_x_f_tek_d_0_037_kumulativ, f_tid_x_f_tek_d_0_01_kumulativ))))</f>
        <v>0</v>
      </c>
      <c r="AB105" s="334" cm="1">
        <f t="array" ref="AB105">IF(X105=0, 0,1.833*'Tillegg- Inndata GoF'!J103*('Tillegg- Inndata GoF'!X103*_xlfn.XLOOKUP(IF('Tillegg- Inndata GoF'!I103&lt;2,'Tillegg- Inndata GoF'!H103,'Tillegg- Inndata GoF'!H103*2), År_etter_ferdigstillelse, Faktorer!$Z$7:$Z$58))*('Tillegg- Inndata GoF'!L103*0.5+'Tillegg- Inndata GoF'!M103*0.8)*_xlfn.XLOOKUP(IF('Tillegg- Inndata GoF'!I103&lt;2,'Tillegg- Inndata GoF'!H103,'Tillegg- Inndata GoF'!H103*2), År_etter_ferdigstillelse,  IF(LEFT('Tillegg- Inndata GoF'!B103, 2)= 49, f_tid_x_f_tek_d_0_037, f_tid_x_f_tek_d_0_01)))</f>
        <v>0</v>
      </c>
      <c r="AC105" s="335">
        <f>IF(('Tillegg- Inndata GoF'!G103) = 0, 0,(('Tillegg- Inndata GoF'!G103)*((AG105+AI105)*Transport_utslipp_til_avfallshånderting_per_kg)+('Tillegg- Inndata GoF'!Z103*'ZERO-B Beregning'!D205)*IF('ZERO-B Beregning'!F206=0,'ZERO-B Beregning'!D206,'ZERO-B Beregning'!F206))*_xlfn.XLOOKUP(51, År_etter_ferdigstillelse, f_tid_x_f_tek_d_0_01))</f>
        <v>0</v>
      </c>
      <c r="AD105" s="337">
        <f>IF(('Tillegg- Inndata GoF'!G103) = 0, 0,1.833*('Tillegg- Inndata GoF'!G103*('Tillegg- Inndata GoF'!L103*0.5+'Tillegg- Inndata GoF'!M103*0.8)*AG105*_xlfn.XLOOKUP(51, År_etter_ferdigstillelse,  f_tid_x_f_tek_d_0_01)))</f>
        <v>0</v>
      </c>
      <c r="AE105" s="333" cm="1">
        <f t="array" ref="AE105">IF(('Tillegg- Inndata GoF'!G103) = 0, 0,-0.8*('Tillegg- Inndata GoF'!G103)*AH105*('Tillegg- Inndata GoF'!E103/'Tillegg- Inndata GoF'!G103)*_xlfn.XLOOKUP(51, År_etter_ferdigstillelse,  IF(LEFT('Tillegg- Inndata GoF'!B103, 2)= 49, f_tid_x_f_tek_d_0_037, f_tid_x_f_tek_d_0_01)))</f>
        <v>0</v>
      </c>
      <c r="AF105" s="338" cm="1">
        <f t="array" ref="AF105">IF(('Tillegg- Inndata GoF'!G103) = 0, 0,-0.1*('Tillegg- Inndata GoF'!G103)*AI105*('Tillegg- Inndata GoF'!E103/'Tillegg- Inndata GoF'!G103)*_xlfn.XLOOKUP(51, År_etter_ferdigstillelse,  IF(LEFT('Tillegg- Inndata GoF'!B103, 2)= 49, f_tid_x_f_tek_d_0_037, f_tid_x_f_tek_d_0_01)))</f>
        <v>0</v>
      </c>
      <c r="AG105" s="572">
        <f>IF(('Tillegg- Inndata GoF'!G103) = 0, 0,'Tillegg- Inndata GoF'!X103*Faktorer!$Z$58)</f>
        <v>0</v>
      </c>
      <c r="AH105" s="573">
        <f>IF(('Tillegg- Inndata GoF'!G103) = 0, 0,'Tillegg- Inndata GoF'!Z103+('Tillegg- Inndata GoF'!X103+'Tillegg- Inndata GoF'!Y103)*(1-Faktorer!$Z$58)*0.5)</f>
        <v>0</v>
      </c>
      <c r="AI105" s="574">
        <f>IF(('Tillegg- Inndata GoF'!G103) = 0, 0,'Tillegg- Inndata GoF'!AA103+('Tillegg- Inndata GoF'!X103+'Tillegg- Inndata GoF'!Y103)*(1-Faktorer!$Z$58)*0.5)</f>
        <v>0</v>
      </c>
      <c r="AK105" s="90">
        <f t="shared" si="2"/>
        <v>0</v>
      </c>
      <c r="AL105" s="91">
        <f>'Tillegg- Res. detaljert GoF'!N105</f>
        <v>0</v>
      </c>
      <c r="AM105" s="91" t="str">
        <f>IF(F105=0,"",('Tillegg- Inndata GoF'!E105+'Tillegg- Inndata GoF'!F105)*ROUNDDOWN('Tillegg- Inndata GoF'!I105,0)*(1+'Tillegg- Inndata GoF'!K105))</f>
        <v/>
      </c>
    </row>
    <row r="106" spans="2:39">
      <c r="B106" s="327">
        <f>'Tillegg- Inndata GoF'!B104</f>
        <v>0</v>
      </c>
      <c r="C106" s="328">
        <f>'Tillegg- Inndata GoF'!C104</f>
        <v>0</v>
      </c>
      <c r="D106" s="329">
        <f>'Tillegg- Inndata GoF'!D104</f>
        <v>0</v>
      </c>
      <c r="E106" s="661" cm="1">
        <f t="array" ref="E106">SUM(IFERROR(F106:AF106,0))</f>
        <v>0</v>
      </c>
      <c r="F106" s="330">
        <f>'Tillegg- Inndata GoF'!E104</f>
        <v>0</v>
      </c>
      <c r="G106" s="330">
        <f>IF('Tillegg- Inndata GoF'!AB104="Ja", -0.8*'Tillegg- Res. detaljert GoF'!$F106, 0)</f>
        <v>0</v>
      </c>
      <c r="H106" s="330">
        <f>IF('Tillegg- Inndata GoF'!AC104="Ja", -0.4*'Tillegg- Res. detaljert GoF'!$F106, 0)</f>
        <v>0</v>
      </c>
      <c r="I106" s="330">
        <f>IF('Tillegg- Inndata GoF'!AD104="Ja", -1*'Tillegg- Res. detaljert GoF'!$F106, 0)</f>
        <v>0</v>
      </c>
      <c r="J106" s="330">
        <f>'Tillegg- Inndata GoF'!O104*'Tillegg- Inndata GoF'!P104</f>
        <v>0</v>
      </c>
      <c r="K106" s="330">
        <f>MAX(-0.75*(SUM('Tillegg- Res. detaljert GoF'!F106:J106)),-'Tillegg- Inndata GoF'!O104*'Tillegg- Inndata GoF'!Q104)</f>
        <v>0</v>
      </c>
      <c r="L106" s="330">
        <f>'Tillegg- Inndata GoF'!S104*'Tillegg- Inndata GoF'!T104</f>
        <v>0</v>
      </c>
      <c r="M106" s="330">
        <f>MAX(-0.75*(SUM('Tillegg- Res. detaljert GoF'!F106:I106,L106)),-'Tillegg- Inndata GoF'!S104*'Tillegg- Inndata GoF'!U104)</f>
        <v>0</v>
      </c>
      <c r="N106" s="331">
        <f>'Tillegg- Inndata GoF'!F104</f>
        <v>0</v>
      </c>
      <c r="O106" s="330">
        <f>'Tillegg- Inndata GoF'!O104*'Tillegg- Inndata GoF'!R104</f>
        <v>0</v>
      </c>
      <c r="P106" s="332">
        <f>'Tillegg- Inndata GoF'!S104*'Tillegg- Inndata GoF'!V104</f>
        <v>0</v>
      </c>
      <c r="Q106" s="333">
        <f>SUM(F106:J106,L106)*'Tillegg- Inndata GoF'!K104</f>
        <v>0</v>
      </c>
      <c r="R106" s="333">
        <f>(K106+M106)*'Tillegg- Inndata GoF'!K104</f>
        <v>0</v>
      </c>
      <c r="S106" s="333">
        <f>SUM(N106:P106)*'Tillegg- Inndata GoF'!K104</f>
        <v>0</v>
      </c>
      <c r="T106" s="334">
        <f>('Tillegg- Inndata GoF'!G104+'Tillegg- Inndata GoF'!O104+'Tillegg- Inndata GoF'!S104)*'Tillegg- Inndata GoF'!K104*Transport_utslipp_til_avfallshånderting_per_kg</f>
        <v>0</v>
      </c>
      <c r="U106" s="330">
        <f>IF('Tillegg- Inndata GoF'!E104 = 0, 0, 1.833*'Tillegg- Inndata GoF'!X104*'Tillegg- Inndata GoF'!K104*('Tillegg- Inndata GoF'!G104*('Tillegg- Inndata GoF'!L104*0.5+'Tillegg- Inndata GoF'!M104*0.8) + (12/44)*('Tillegg- Inndata GoF'!O104*'Tillegg- Inndata GoF'!Q104+'Tillegg- Inndata GoF'!S104*'Tillegg- Inndata GoF'!U104)))</f>
        <v>0</v>
      </c>
      <c r="V106" s="335">
        <f>IF('Tillegg- Inndata GoF'!G104 = 0, 0,  MAX(-SUM(F106:J106,L106)*'Tillegg- Inndata GoF'!L104, -0.114*IF('Tillegg- Inndata GoF'!H104 &gt; 49, _xlfn.XLOOKUP(49, År_etter_ferdigstillelse, karbon_opptak_faktor), _xlfn.XLOOKUP('Tillegg- Inndata GoF'!H104, År_etter_ferdigstillelse, karbon_opptak_faktor))*'Tillegg- Inndata GoF'!G104*'Tillegg- Inndata GoF'!L104*0.5))</f>
        <v>0</v>
      </c>
      <c r="W106" s="333">
        <f>IF('Tillegg- Inndata GoF'!G104=0,0,IF('Tillegg- Inndata GoF'!H104&gt;49,-0.064*'Tillegg- Inndata GoF'!G104*'Tillegg- Inndata GoF'!N104,-0.037*'Tillegg- Inndata GoF'!J104*'Tillegg- Inndata GoF'!N104))</f>
        <v>0</v>
      </c>
      <c r="X106" s="331" cm="1">
        <f t="array" ref="X106">IF(SUM(F106:J106,L106)=0, 0, SUM(F106:J106,L106)*(1+'Tillegg-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Y106" s="330" cm="1">
        <f t="array" ref="Y106">IF(X106=0, 0, SUM(K106,M106)*(1+'Tillegg-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Z106" s="336" cm="1">
        <f t="array" ref="Z106">IF(X106=0, 0, SUM(N106:P106)*(1+'Tillegg-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AA106" s="336" cm="1">
        <f t="array" ref="AA106">IF(X106=0, 0, ('Tillegg- Inndata GoF'!G104+'Tillegg- Inndata GoF'!O104+'Tillegg- Inndata GoF'!S104)*(1+'Tillegg- Inndata GoF'!K104)*Transport_utslipp_til_avfallshånderting_per_kg*IF('Tillegg- Inndata GoF'!H104&gt;50, 0, _xlfn.XLOOKUP('Tillegg- Inndata GoF'!H104, År_etter_ferdigstillelse, IF(VALUE(LEFT('Tillegg- Inndata GoF'!B104, 2))= 49, f_tid_x_f_tek_d_0_037_kumulativ, f_tid_x_f_tek_d_0_01_kumulativ))))</f>
        <v>0</v>
      </c>
      <c r="AB106" s="334" cm="1">
        <f t="array" ref="AB106">IF(X106=0, 0,1.833*'Tillegg- Inndata GoF'!J104*('Tillegg- Inndata GoF'!X104*_xlfn.XLOOKUP(IF('Tillegg- Inndata GoF'!I104&lt;2,'Tillegg- Inndata GoF'!H104,'Tillegg- Inndata GoF'!H104*2), År_etter_ferdigstillelse, Faktorer!$Z$7:$Z$58))*('Tillegg- Inndata GoF'!L104*0.5+'Tillegg- Inndata GoF'!M104*0.8)*_xlfn.XLOOKUP(IF('Tillegg- Inndata GoF'!I104&lt;2,'Tillegg- Inndata GoF'!H104,'Tillegg- Inndata GoF'!H104*2), År_etter_ferdigstillelse,  IF(LEFT('Tillegg- Inndata GoF'!B104, 2)= 49, f_tid_x_f_tek_d_0_037, f_tid_x_f_tek_d_0_01)))</f>
        <v>0</v>
      </c>
      <c r="AC106" s="335">
        <f>IF(('Tillegg- Inndata GoF'!G104) = 0, 0,(('Tillegg- Inndata GoF'!G104)*((AG106+AI106)*Transport_utslipp_til_avfallshånderting_per_kg)+('Tillegg- Inndata GoF'!Z104*'ZERO-B Beregning'!D206)*IF('ZERO-B Beregning'!F207=0,'ZERO-B Beregning'!D207,'ZERO-B Beregning'!F207))*_xlfn.XLOOKUP(51, År_etter_ferdigstillelse, f_tid_x_f_tek_d_0_01))</f>
        <v>0</v>
      </c>
      <c r="AD106" s="337">
        <f>IF(('Tillegg- Inndata GoF'!G104) = 0, 0,1.833*('Tillegg- Inndata GoF'!G104*('Tillegg- Inndata GoF'!L104*0.5+'Tillegg- Inndata GoF'!M104*0.8)*AG106*_xlfn.XLOOKUP(51, År_etter_ferdigstillelse,  f_tid_x_f_tek_d_0_01)))</f>
        <v>0</v>
      </c>
      <c r="AE106" s="333" cm="1">
        <f t="array" ref="AE106">IF(('Tillegg- Inndata GoF'!G104) = 0, 0,-0.8*('Tillegg- Inndata GoF'!G104)*AH106*('Tillegg- Inndata GoF'!E104/'Tillegg- Inndata GoF'!G104)*_xlfn.XLOOKUP(51, År_etter_ferdigstillelse,  IF(LEFT('Tillegg- Inndata GoF'!B104, 2)= 49, f_tid_x_f_tek_d_0_037, f_tid_x_f_tek_d_0_01)))</f>
        <v>0</v>
      </c>
      <c r="AF106" s="338" cm="1">
        <f t="array" ref="AF106">IF(('Tillegg- Inndata GoF'!G104) = 0, 0,-0.1*('Tillegg- Inndata GoF'!G104)*AI106*('Tillegg- Inndata GoF'!E104/'Tillegg- Inndata GoF'!G104)*_xlfn.XLOOKUP(51, År_etter_ferdigstillelse,  IF(LEFT('Tillegg- Inndata GoF'!B104, 2)= 49, f_tid_x_f_tek_d_0_037, f_tid_x_f_tek_d_0_01)))</f>
        <v>0</v>
      </c>
      <c r="AG106" s="572">
        <f>IF(('Tillegg- Inndata GoF'!G104) = 0, 0,'Tillegg- Inndata GoF'!X104*Faktorer!$Z$58)</f>
        <v>0</v>
      </c>
      <c r="AH106" s="573">
        <f>IF(('Tillegg- Inndata GoF'!G104) = 0, 0,'Tillegg- Inndata GoF'!Z104+('Tillegg- Inndata GoF'!X104+'Tillegg- Inndata GoF'!Y104)*(1-Faktorer!$Z$58)*0.5)</f>
        <v>0</v>
      </c>
      <c r="AI106" s="574">
        <f>IF(('Tillegg- Inndata GoF'!G104) = 0, 0,'Tillegg- Inndata GoF'!AA104+('Tillegg- Inndata GoF'!X104+'Tillegg- Inndata GoF'!Y104)*(1-Faktorer!$Z$58)*0.5)</f>
        <v>0</v>
      </c>
      <c r="AK106" s="90">
        <f t="shared" si="2"/>
        <v>0</v>
      </c>
      <c r="AL106" s="91">
        <f>'Tillegg- Res. detaljert GoF'!N106</f>
        <v>0</v>
      </c>
      <c r="AM106" s="91" t="str">
        <f>IF(F106=0,"",('Tillegg- Inndata GoF'!E106+'Tillegg- Inndata GoF'!F106)*ROUNDDOWN('Tillegg- Inndata GoF'!I106,0)*(1+'Tillegg- Inndata GoF'!K106))</f>
        <v/>
      </c>
    </row>
    <row r="107" spans="2:39">
      <c r="B107" s="327">
        <f>'Tillegg- Inndata GoF'!B105</f>
        <v>0</v>
      </c>
      <c r="C107" s="328">
        <f>'Tillegg- Inndata GoF'!C105</f>
        <v>0</v>
      </c>
      <c r="D107" s="329">
        <f>'Tillegg- Inndata GoF'!D105</f>
        <v>0</v>
      </c>
      <c r="E107" s="661" cm="1">
        <f t="array" ref="E107">SUM(IFERROR(F107:AF107,0))</f>
        <v>0</v>
      </c>
      <c r="F107" s="330">
        <f>'Tillegg- Inndata GoF'!E105</f>
        <v>0</v>
      </c>
      <c r="G107" s="330">
        <f>IF('Tillegg- Inndata GoF'!AB105="Ja", -0.8*'Tillegg- Res. detaljert GoF'!$F107, 0)</f>
        <v>0</v>
      </c>
      <c r="H107" s="330">
        <f>IF('Tillegg- Inndata GoF'!AC105="Ja", -0.4*'Tillegg- Res. detaljert GoF'!$F107, 0)</f>
        <v>0</v>
      </c>
      <c r="I107" s="330">
        <f>IF('Tillegg- Inndata GoF'!AD105="Ja", -1*'Tillegg- Res. detaljert GoF'!$F107, 0)</f>
        <v>0</v>
      </c>
      <c r="J107" s="330">
        <f>'Tillegg- Inndata GoF'!O105*'Tillegg- Inndata GoF'!P105</f>
        <v>0</v>
      </c>
      <c r="K107" s="330">
        <f>MAX(-0.75*(SUM('Tillegg- Res. detaljert GoF'!F107:J107)),-'Tillegg- Inndata GoF'!O105*'Tillegg- Inndata GoF'!Q105)</f>
        <v>0</v>
      </c>
      <c r="L107" s="330">
        <f>'Tillegg- Inndata GoF'!S105*'Tillegg- Inndata GoF'!T105</f>
        <v>0</v>
      </c>
      <c r="M107" s="330">
        <f>MAX(-0.75*(SUM('Tillegg- Res. detaljert GoF'!F107:I107,L107)),-'Tillegg- Inndata GoF'!S105*'Tillegg- Inndata GoF'!U105)</f>
        <v>0</v>
      </c>
      <c r="N107" s="331">
        <f>'Tillegg- Inndata GoF'!F105</f>
        <v>0</v>
      </c>
      <c r="O107" s="330">
        <f>'Tillegg- Inndata GoF'!O105*'Tillegg- Inndata GoF'!R105</f>
        <v>0</v>
      </c>
      <c r="P107" s="332">
        <f>'Tillegg- Inndata GoF'!S105*'Tillegg- Inndata GoF'!V105</f>
        <v>0</v>
      </c>
      <c r="Q107" s="333">
        <f>SUM(F107:J107,L107)*'Tillegg- Inndata GoF'!K105</f>
        <v>0</v>
      </c>
      <c r="R107" s="333">
        <f>(K107+M107)*'Tillegg- Inndata GoF'!K105</f>
        <v>0</v>
      </c>
      <c r="S107" s="333">
        <f>SUM(N107:P107)*'Tillegg- Inndata GoF'!K105</f>
        <v>0</v>
      </c>
      <c r="T107" s="334">
        <f>('Tillegg- Inndata GoF'!G105+'Tillegg- Inndata GoF'!O105+'Tillegg- Inndata GoF'!S105)*'Tillegg- Inndata GoF'!K105*Transport_utslipp_til_avfallshånderting_per_kg</f>
        <v>0</v>
      </c>
      <c r="U107" s="330">
        <f>IF('Tillegg- Inndata GoF'!E105 = 0, 0, 1.833*'Tillegg- Inndata GoF'!X105*'Tillegg- Inndata GoF'!K105*('Tillegg- Inndata GoF'!G105*('Tillegg- Inndata GoF'!L105*0.5+'Tillegg- Inndata GoF'!M105*0.8) + (12/44)*('Tillegg- Inndata GoF'!O105*'Tillegg- Inndata GoF'!Q105+'Tillegg- Inndata GoF'!S105*'Tillegg- Inndata GoF'!U105)))</f>
        <v>0</v>
      </c>
      <c r="V107" s="335">
        <f>IF('Tillegg- Inndata GoF'!G105 = 0, 0,  MAX(-SUM(F107:J107,L107)*'Tillegg- Inndata GoF'!L105, -0.114*IF('Tillegg- Inndata GoF'!H105 &gt; 49, _xlfn.XLOOKUP(49, År_etter_ferdigstillelse, karbon_opptak_faktor), _xlfn.XLOOKUP('Tillegg- Inndata GoF'!H105, År_etter_ferdigstillelse, karbon_opptak_faktor))*'Tillegg- Inndata GoF'!G105*'Tillegg- Inndata GoF'!L105*0.5))</f>
        <v>0</v>
      </c>
      <c r="W107" s="333">
        <f>IF('Tillegg- Inndata GoF'!G105=0,0,IF('Tillegg- Inndata GoF'!H105&gt;49,-0.064*'Tillegg- Inndata GoF'!G105*'Tillegg- Inndata GoF'!N105,-0.037*'Tillegg- Inndata GoF'!J105*'Tillegg- Inndata GoF'!N105))</f>
        <v>0</v>
      </c>
      <c r="X107" s="331" cm="1">
        <f t="array" ref="X107">IF(SUM(F107:J107,L107)=0, 0, SUM(F107:J107,L107)*(1+'Tillegg-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Y107" s="330" cm="1">
        <f t="array" ref="Y107">IF(X107=0, 0, SUM(K107,M107)*(1+'Tillegg-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Z107" s="336" cm="1">
        <f t="array" ref="Z107">IF(X107=0, 0, SUM(N107:P107)*(1+'Tillegg-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AA107" s="336" cm="1">
        <f t="array" ref="AA107">IF(X107=0, 0, ('Tillegg- Inndata GoF'!G105+'Tillegg- Inndata GoF'!O105+'Tillegg- Inndata GoF'!S105)*(1+'Tillegg- Inndata GoF'!K105)*Transport_utslipp_til_avfallshånderting_per_kg*IF('Tillegg- Inndata GoF'!H105&gt;50, 0, _xlfn.XLOOKUP('Tillegg- Inndata GoF'!H105, År_etter_ferdigstillelse, IF(VALUE(LEFT('Tillegg- Inndata GoF'!B105, 2))= 49, f_tid_x_f_tek_d_0_037_kumulativ, f_tid_x_f_tek_d_0_01_kumulativ))))</f>
        <v>0</v>
      </c>
      <c r="AB107" s="334" cm="1">
        <f t="array" ref="AB107">IF(X107=0, 0,1.833*'Tillegg- Inndata GoF'!J105*('Tillegg- Inndata GoF'!X105*_xlfn.XLOOKUP(IF('Tillegg- Inndata GoF'!I105&lt;2,'Tillegg- Inndata GoF'!H105,'Tillegg- Inndata GoF'!H105*2), År_etter_ferdigstillelse, Faktorer!$Z$7:$Z$58))*('Tillegg- Inndata GoF'!L105*0.5+'Tillegg- Inndata GoF'!M105*0.8)*_xlfn.XLOOKUP(IF('Tillegg- Inndata GoF'!I105&lt;2,'Tillegg- Inndata GoF'!H105,'Tillegg- Inndata GoF'!H105*2), År_etter_ferdigstillelse,  IF(LEFT('Tillegg- Inndata GoF'!B105, 2)= 49, f_tid_x_f_tek_d_0_037, f_tid_x_f_tek_d_0_01)))</f>
        <v>0</v>
      </c>
      <c r="AC107" s="335">
        <f>IF(('Tillegg- Inndata GoF'!G105) = 0, 0,(('Tillegg- Inndata GoF'!G105)*((AG107+AI107)*Transport_utslipp_til_avfallshånderting_per_kg)+('Tillegg- Inndata GoF'!Z105*'ZERO-B Beregning'!D207)*IF('ZERO-B Beregning'!F208=0,'ZERO-B Beregning'!D208,'ZERO-B Beregning'!F208))*_xlfn.XLOOKUP(51, År_etter_ferdigstillelse, f_tid_x_f_tek_d_0_01))</f>
        <v>0</v>
      </c>
      <c r="AD107" s="337">
        <f>IF(('Tillegg- Inndata GoF'!G105) = 0, 0,1.833*('Tillegg- Inndata GoF'!G105*('Tillegg- Inndata GoF'!L105*0.5+'Tillegg- Inndata GoF'!M105*0.8)*AG107*_xlfn.XLOOKUP(51, År_etter_ferdigstillelse,  f_tid_x_f_tek_d_0_01)))</f>
        <v>0</v>
      </c>
      <c r="AE107" s="333" cm="1">
        <f t="array" ref="AE107">IF(('Tillegg- Inndata GoF'!G105) = 0, 0,-0.8*('Tillegg- Inndata GoF'!G105)*AH107*('Tillegg- Inndata GoF'!E105/'Tillegg- Inndata GoF'!G105)*_xlfn.XLOOKUP(51, År_etter_ferdigstillelse,  IF(LEFT('Tillegg- Inndata GoF'!B105, 2)= 49, f_tid_x_f_tek_d_0_037, f_tid_x_f_tek_d_0_01)))</f>
        <v>0</v>
      </c>
      <c r="AF107" s="338" cm="1">
        <f t="array" ref="AF107">IF(('Tillegg- Inndata GoF'!G105) = 0, 0,-0.1*('Tillegg- Inndata GoF'!G105)*AI107*('Tillegg- Inndata GoF'!E105/'Tillegg- Inndata GoF'!G105)*_xlfn.XLOOKUP(51, År_etter_ferdigstillelse,  IF(LEFT('Tillegg- Inndata GoF'!B105, 2)= 49, f_tid_x_f_tek_d_0_037, f_tid_x_f_tek_d_0_01)))</f>
        <v>0</v>
      </c>
      <c r="AG107" s="572">
        <f>IF(('Tillegg- Inndata GoF'!G105) = 0, 0,'Tillegg- Inndata GoF'!X105*Faktorer!$Z$58)</f>
        <v>0</v>
      </c>
      <c r="AH107" s="573">
        <f>IF(('Tillegg- Inndata GoF'!G105) = 0, 0,'Tillegg- Inndata GoF'!Z105+('Tillegg- Inndata GoF'!X105+'Tillegg- Inndata GoF'!Y105)*(1-Faktorer!$Z$58)*0.5)</f>
        <v>0</v>
      </c>
      <c r="AI107" s="574">
        <f>IF(('Tillegg- Inndata GoF'!G105) = 0, 0,'Tillegg- Inndata GoF'!AA105+('Tillegg- Inndata GoF'!X105+'Tillegg- Inndata GoF'!Y105)*(1-Faktorer!$Z$58)*0.5)</f>
        <v>0</v>
      </c>
      <c r="AK107" s="90">
        <f t="shared" si="2"/>
        <v>0</v>
      </c>
      <c r="AL107" s="91">
        <f>'Tillegg- Res. detaljert GoF'!N107</f>
        <v>0</v>
      </c>
      <c r="AM107" s="91" t="str">
        <f>IF(F107=0,"",('Tillegg- Inndata GoF'!E107+'Tillegg- Inndata GoF'!F107)*ROUNDDOWN('Tillegg- Inndata GoF'!I107,0)*(1+'Tillegg- Inndata GoF'!K107))</f>
        <v/>
      </c>
    </row>
    <row r="108" spans="2:39">
      <c r="B108" s="327">
        <f>'Tillegg- Inndata GoF'!B106</f>
        <v>0</v>
      </c>
      <c r="C108" s="328">
        <f>'Tillegg- Inndata GoF'!C106</f>
        <v>0</v>
      </c>
      <c r="D108" s="329">
        <f>'Tillegg- Inndata GoF'!D106</f>
        <v>0</v>
      </c>
      <c r="E108" s="661" cm="1">
        <f t="array" ref="E108">SUM(IFERROR(F108:AF108,0))</f>
        <v>0</v>
      </c>
      <c r="F108" s="330">
        <f>'Tillegg- Inndata GoF'!E106</f>
        <v>0</v>
      </c>
      <c r="G108" s="330">
        <f>IF('Tillegg- Inndata GoF'!AB106="Ja", -0.8*'Tillegg- Res. detaljert GoF'!$F108, 0)</f>
        <v>0</v>
      </c>
      <c r="H108" s="330">
        <f>IF('Tillegg- Inndata GoF'!AC106="Ja", -0.4*'Tillegg- Res. detaljert GoF'!$F108, 0)</f>
        <v>0</v>
      </c>
      <c r="I108" s="330">
        <f>IF('Tillegg- Inndata GoF'!AD106="Ja", -1*'Tillegg- Res. detaljert GoF'!$F108, 0)</f>
        <v>0</v>
      </c>
      <c r="J108" s="330">
        <f>'Tillegg- Inndata GoF'!O106*'Tillegg- Inndata GoF'!P106</f>
        <v>0</v>
      </c>
      <c r="K108" s="330">
        <f>MAX(-0.75*(SUM('Tillegg- Res. detaljert GoF'!F108:J108)),-'Tillegg- Inndata GoF'!O106*'Tillegg- Inndata GoF'!Q106)</f>
        <v>0</v>
      </c>
      <c r="L108" s="330">
        <f>'Tillegg- Inndata GoF'!S106*'Tillegg- Inndata GoF'!T106</f>
        <v>0</v>
      </c>
      <c r="M108" s="330">
        <f>MAX(-0.75*(SUM('Tillegg- Res. detaljert GoF'!F108:I108,L108)),-'Tillegg- Inndata GoF'!S106*'Tillegg- Inndata GoF'!U106)</f>
        <v>0</v>
      </c>
      <c r="N108" s="331">
        <f>'Tillegg- Inndata GoF'!F106</f>
        <v>0</v>
      </c>
      <c r="O108" s="330">
        <f>'Tillegg- Inndata GoF'!O106*'Tillegg- Inndata GoF'!R106</f>
        <v>0</v>
      </c>
      <c r="P108" s="332">
        <f>'Tillegg- Inndata GoF'!S106*'Tillegg- Inndata GoF'!V106</f>
        <v>0</v>
      </c>
      <c r="Q108" s="333">
        <f>SUM(F108:J108,L108)*'Tillegg- Inndata GoF'!K106</f>
        <v>0</v>
      </c>
      <c r="R108" s="333">
        <f>(K108+M108)*'Tillegg- Inndata GoF'!K106</f>
        <v>0</v>
      </c>
      <c r="S108" s="333">
        <f>SUM(N108:P108)*'Tillegg- Inndata GoF'!K106</f>
        <v>0</v>
      </c>
      <c r="T108" s="334">
        <f>('Tillegg- Inndata GoF'!G106+'Tillegg- Inndata GoF'!O106+'Tillegg- Inndata GoF'!S106)*'Tillegg- Inndata GoF'!K106*Transport_utslipp_til_avfallshånderting_per_kg</f>
        <v>0</v>
      </c>
      <c r="U108" s="330">
        <f>IF('Tillegg- Inndata GoF'!E106 = 0, 0, 1.833*'Tillegg- Inndata GoF'!X106*'Tillegg- Inndata GoF'!K106*('Tillegg- Inndata GoF'!G106*('Tillegg- Inndata GoF'!L106*0.5+'Tillegg- Inndata GoF'!M106*0.8) + (12/44)*('Tillegg- Inndata GoF'!O106*'Tillegg- Inndata GoF'!Q106+'Tillegg- Inndata GoF'!S106*'Tillegg- Inndata GoF'!U106)))</f>
        <v>0</v>
      </c>
      <c r="V108" s="335">
        <f>IF('Tillegg- Inndata GoF'!G106 = 0, 0,  MAX(-SUM(F108:J108,L108)*'Tillegg- Inndata GoF'!L106, -0.114*IF('Tillegg- Inndata GoF'!H106 &gt; 49, _xlfn.XLOOKUP(49, År_etter_ferdigstillelse, karbon_opptak_faktor), _xlfn.XLOOKUP('Tillegg- Inndata GoF'!H106, År_etter_ferdigstillelse, karbon_opptak_faktor))*'Tillegg- Inndata GoF'!G106*'Tillegg- Inndata GoF'!L106*0.5))</f>
        <v>0</v>
      </c>
      <c r="W108" s="333">
        <f>IF('Tillegg- Inndata GoF'!G106=0,0,IF('Tillegg- Inndata GoF'!H106&gt;49,-0.064*'Tillegg- Inndata GoF'!G106*'Tillegg- Inndata GoF'!N106,-0.037*'Tillegg- Inndata GoF'!J106*'Tillegg- Inndata GoF'!N106))</f>
        <v>0</v>
      </c>
      <c r="X108" s="331" cm="1">
        <f t="array" ref="X108">IF(SUM(F108:J108,L108)=0, 0, SUM(F108:J108,L108)*(1+'Tillegg-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Y108" s="330" cm="1">
        <f t="array" ref="Y108">IF(X108=0, 0, SUM(K108,M108)*(1+'Tillegg-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Z108" s="336" cm="1">
        <f t="array" ref="Z108">IF(X108=0, 0, SUM(N108:P108)*(1+'Tillegg-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AA108" s="336" cm="1">
        <f t="array" ref="AA108">IF(X108=0, 0, ('Tillegg- Inndata GoF'!G106+'Tillegg- Inndata GoF'!O106+'Tillegg- Inndata GoF'!S106)*(1+'Tillegg- Inndata GoF'!K106)*Transport_utslipp_til_avfallshånderting_per_kg*IF('Tillegg- Inndata GoF'!H106&gt;50, 0, _xlfn.XLOOKUP('Tillegg- Inndata GoF'!H106, År_etter_ferdigstillelse, IF(VALUE(LEFT('Tillegg- Inndata GoF'!B106, 2))= 49, f_tid_x_f_tek_d_0_037_kumulativ, f_tid_x_f_tek_d_0_01_kumulativ))))</f>
        <v>0</v>
      </c>
      <c r="AB108" s="334" cm="1">
        <f t="array" ref="AB108">IF(X108=0, 0,1.833*'Tillegg- Inndata GoF'!J106*('Tillegg- Inndata GoF'!X106*_xlfn.XLOOKUP(IF('Tillegg- Inndata GoF'!I106&lt;2,'Tillegg- Inndata GoF'!H106,'Tillegg- Inndata GoF'!H106*2), År_etter_ferdigstillelse, Faktorer!$Z$7:$Z$58))*('Tillegg- Inndata GoF'!L106*0.5+'Tillegg- Inndata GoF'!M106*0.8)*_xlfn.XLOOKUP(IF('Tillegg- Inndata GoF'!I106&lt;2,'Tillegg- Inndata GoF'!H106,'Tillegg- Inndata GoF'!H106*2), År_etter_ferdigstillelse,  IF(LEFT('Tillegg- Inndata GoF'!B106, 2)= 49, f_tid_x_f_tek_d_0_037, f_tid_x_f_tek_d_0_01)))</f>
        <v>0</v>
      </c>
      <c r="AC108" s="335">
        <f>IF(('Tillegg- Inndata GoF'!G106) = 0, 0,(('Tillegg- Inndata GoF'!G106)*((AG108+AI108)*Transport_utslipp_til_avfallshånderting_per_kg)+('Tillegg- Inndata GoF'!Z106*'ZERO-B Beregning'!D208)*IF('ZERO-B Beregning'!F209=0,'ZERO-B Beregning'!D209,'ZERO-B Beregning'!F209))*_xlfn.XLOOKUP(51, År_etter_ferdigstillelse, f_tid_x_f_tek_d_0_01))</f>
        <v>0</v>
      </c>
      <c r="AD108" s="337">
        <f>IF(('Tillegg- Inndata GoF'!G106) = 0, 0,1.833*('Tillegg- Inndata GoF'!G106*('Tillegg- Inndata GoF'!L106*0.5+'Tillegg- Inndata GoF'!M106*0.8)*AG108*_xlfn.XLOOKUP(51, År_etter_ferdigstillelse,  f_tid_x_f_tek_d_0_01)))</f>
        <v>0</v>
      </c>
      <c r="AE108" s="333" cm="1">
        <f t="array" ref="AE108">IF(('Tillegg- Inndata GoF'!G106) = 0, 0,-0.8*('Tillegg- Inndata GoF'!G106)*AH108*('Tillegg- Inndata GoF'!E106/'Tillegg- Inndata GoF'!G106)*_xlfn.XLOOKUP(51, År_etter_ferdigstillelse,  IF(LEFT('Tillegg- Inndata GoF'!B106, 2)= 49, f_tid_x_f_tek_d_0_037, f_tid_x_f_tek_d_0_01)))</f>
        <v>0</v>
      </c>
      <c r="AF108" s="338" cm="1">
        <f t="array" ref="AF108">IF(('Tillegg- Inndata GoF'!G106) = 0, 0,-0.1*('Tillegg- Inndata GoF'!G106)*AI108*('Tillegg- Inndata GoF'!E106/'Tillegg- Inndata GoF'!G106)*_xlfn.XLOOKUP(51, År_etter_ferdigstillelse,  IF(LEFT('Tillegg- Inndata GoF'!B106, 2)= 49, f_tid_x_f_tek_d_0_037, f_tid_x_f_tek_d_0_01)))</f>
        <v>0</v>
      </c>
      <c r="AG108" s="572">
        <f>IF(('Tillegg- Inndata GoF'!G106) = 0, 0,'Tillegg- Inndata GoF'!X106*Faktorer!$Z$58)</f>
        <v>0</v>
      </c>
      <c r="AH108" s="573">
        <f>IF(('Tillegg- Inndata GoF'!G106) = 0, 0,'Tillegg- Inndata GoF'!Z106+('Tillegg- Inndata GoF'!X106+'Tillegg- Inndata GoF'!Y106)*(1-Faktorer!$Z$58)*0.5)</f>
        <v>0</v>
      </c>
      <c r="AI108" s="574">
        <f>IF(('Tillegg- Inndata GoF'!G106) = 0, 0,'Tillegg- Inndata GoF'!AA106+('Tillegg- Inndata GoF'!X106+'Tillegg- Inndata GoF'!Y106)*(1-Faktorer!$Z$58)*0.5)</f>
        <v>0</v>
      </c>
      <c r="AK108" s="90">
        <f t="shared" si="2"/>
        <v>0</v>
      </c>
      <c r="AL108" s="91">
        <f>'Tillegg- Res. detaljert GoF'!N108</f>
        <v>0</v>
      </c>
      <c r="AM108" s="91" t="str">
        <f>IF(F108=0,"",('Tillegg- Inndata GoF'!E108+'Tillegg- Inndata GoF'!F108)*ROUNDDOWN('Tillegg- Inndata GoF'!I108,0)*(1+'Tillegg- Inndata GoF'!K108))</f>
        <v/>
      </c>
    </row>
    <row r="109" spans="2:39">
      <c r="B109" s="327">
        <f>'Tillegg- Inndata GoF'!B107</f>
        <v>0</v>
      </c>
      <c r="C109" s="328">
        <f>'Tillegg- Inndata GoF'!C107</f>
        <v>0</v>
      </c>
      <c r="D109" s="329">
        <f>'Tillegg- Inndata GoF'!D107</f>
        <v>0</v>
      </c>
      <c r="E109" s="661" cm="1">
        <f t="array" ref="E109">SUM(IFERROR(F109:AF109,0))</f>
        <v>0</v>
      </c>
      <c r="F109" s="330">
        <f>'Tillegg- Inndata GoF'!E107</f>
        <v>0</v>
      </c>
      <c r="G109" s="330">
        <f>IF('Tillegg- Inndata GoF'!AB107="Ja", -0.8*'Tillegg- Res. detaljert GoF'!$F109, 0)</f>
        <v>0</v>
      </c>
      <c r="H109" s="330">
        <f>IF('Tillegg- Inndata GoF'!AC107="Ja", -0.4*'Tillegg- Res. detaljert GoF'!$F109, 0)</f>
        <v>0</v>
      </c>
      <c r="I109" s="330">
        <f>IF('Tillegg- Inndata GoF'!AD107="Ja", -1*'Tillegg- Res. detaljert GoF'!$F109, 0)</f>
        <v>0</v>
      </c>
      <c r="J109" s="330">
        <f>'Tillegg- Inndata GoF'!O107*'Tillegg- Inndata GoF'!P107</f>
        <v>0</v>
      </c>
      <c r="K109" s="330">
        <f>MAX(-0.75*(SUM('Tillegg- Res. detaljert GoF'!F109:J109)),-'Tillegg- Inndata GoF'!O107*'Tillegg- Inndata GoF'!Q107)</f>
        <v>0</v>
      </c>
      <c r="L109" s="330">
        <f>'Tillegg- Inndata GoF'!S107*'Tillegg- Inndata GoF'!T107</f>
        <v>0</v>
      </c>
      <c r="M109" s="330">
        <f>MAX(-0.75*(SUM('Tillegg- Res. detaljert GoF'!F109:I109,L109)),-'Tillegg- Inndata GoF'!S107*'Tillegg- Inndata GoF'!U107)</f>
        <v>0</v>
      </c>
      <c r="N109" s="331">
        <f>'Tillegg- Inndata GoF'!F107</f>
        <v>0</v>
      </c>
      <c r="O109" s="330">
        <f>'Tillegg- Inndata GoF'!O107*'Tillegg- Inndata GoF'!R107</f>
        <v>0</v>
      </c>
      <c r="P109" s="332">
        <f>'Tillegg- Inndata GoF'!S107*'Tillegg- Inndata GoF'!V107</f>
        <v>0</v>
      </c>
      <c r="Q109" s="333">
        <f>SUM(F109:J109,L109)*'Tillegg- Inndata GoF'!K107</f>
        <v>0</v>
      </c>
      <c r="R109" s="333">
        <f>(K109+M109)*'Tillegg- Inndata GoF'!K107</f>
        <v>0</v>
      </c>
      <c r="S109" s="333">
        <f>SUM(N109:P109)*'Tillegg- Inndata GoF'!K107</f>
        <v>0</v>
      </c>
      <c r="T109" s="334">
        <f>('Tillegg- Inndata GoF'!G107+'Tillegg- Inndata GoF'!O107+'Tillegg- Inndata GoF'!S107)*'Tillegg- Inndata GoF'!K107*Transport_utslipp_til_avfallshånderting_per_kg</f>
        <v>0</v>
      </c>
      <c r="U109" s="330">
        <f>IF('Tillegg- Inndata GoF'!E107 = 0, 0, 1.833*'Tillegg- Inndata GoF'!X107*'Tillegg- Inndata GoF'!K107*('Tillegg- Inndata GoF'!G107*('Tillegg- Inndata GoF'!L107*0.5+'Tillegg- Inndata GoF'!M107*0.8) + (12/44)*('Tillegg- Inndata GoF'!O107*'Tillegg- Inndata GoF'!Q107+'Tillegg- Inndata GoF'!S107*'Tillegg- Inndata GoF'!U107)))</f>
        <v>0</v>
      </c>
      <c r="V109" s="335">
        <f>IF('Tillegg- Inndata GoF'!G107 = 0, 0,  MAX(-SUM(F109:J109,L109)*'Tillegg- Inndata GoF'!L107, -0.114*IF('Tillegg- Inndata GoF'!H107 &gt; 49, _xlfn.XLOOKUP(49, År_etter_ferdigstillelse, karbon_opptak_faktor), _xlfn.XLOOKUP('Tillegg- Inndata GoF'!H107, År_etter_ferdigstillelse, karbon_opptak_faktor))*'Tillegg- Inndata GoF'!G107*'Tillegg- Inndata GoF'!L107*0.5))</f>
        <v>0</v>
      </c>
      <c r="W109" s="333">
        <f>IF('Tillegg- Inndata GoF'!G107=0,0,IF('Tillegg- Inndata GoF'!H107&gt;49,-0.064*'Tillegg- Inndata GoF'!G107*'Tillegg- Inndata GoF'!N107,-0.037*'Tillegg- Inndata GoF'!J107*'Tillegg- Inndata GoF'!N107))</f>
        <v>0</v>
      </c>
      <c r="X109" s="331" cm="1">
        <f t="array" ref="X109">IF(SUM(F109:J109,L109)=0, 0, SUM(F109:J109,L109)*(1+'Tillegg-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Y109" s="330" cm="1">
        <f t="array" ref="Y109">IF(X109=0, 0, SUM(K109,M109)*(1+'Tillegg-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Z109" s="336" cm="1">
        <f t="array" ref="Z109">IF(X109=0, 0, SUM(N109:P109)*(1+'Tillegg-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AA109" s="336" cm="1">
        <f t="array" ref="AA109">IF(X109=0, 0, ('Tillegg- Inndata GoF'!G107+'Tillegg- Inndata GoF'!O107+'Tillegg- Inndata GoF'!S107)*(1+'Tillegg- Inndata GoF'!K107)*Transport_utslipp_til_avfallshånderting_per_kg*IF('Tillegg- Inndata GoF'!H107&gt;50, 0, _xlfn.XLOOKUP('Tillegg- Inndata GoF'!H107, År_etter_ferdigstillelse, IF(VALUE(LEFT('Tillegg- Inndata GoF'!B107, 2))= 49, f_tid_x_f_tek_d_0_037_kumulativ, f_tid_x_f_tek_d_0_01_kumulativ))))</f>
        <v>0</v>
      </c>
      <c r="AB109" s="334" cm="1">
        <f t="array" ref="AB109">IF(X109=0, 0,1.833*'Tillegg- Inndata GoF'!J107*('Tillegg- Inndata GoF'!X107*_xlfn.XLOOKUP(IF('Tillegg- Inndata GoF'!I107&lt;2,'Tillegg- Inndata GoF'!H107,'Tillegg- Inndata GoF'!H107*2), År_etter_ferdigstillelse, Faktorer!$Z$7:$Z$58))*('Tillegg- Inndata GoF'!L107*0.5+'Tillegg- Inndata GoF'!M107*0.8)*_xlfn.XLOOKUP(IF('Tillegg- Inndata GoF'!I107&lt;2,'Tillegg- Inndata GoF'!H107,'Tillegg- Inndata GoF'!H107*2), År_etter_ferdigstillelse,  IF(LEFT('Tillegg- Inndata GoF'!B107, 2)= 49, f_tid_x_f_tek_d_0_037, f_tid_x_f_tek_d_0_01)))</f>
        <v>0</v>
      </c>
      <c r="AC109" s="335">
        <f>IF(('Tillegg- Inndata GoF'!G107) = 0, 0,(('Tillegg- Inndata GoF'!G107)*((AG109+AI109)*Transport_utslipp_til_avfallshånderting_per_kg)+('Tillegg- Inndata GoF'!Z107*'ZERO-B Beregning'!D209)*IF('ZERO-B Beregning'!F210=0,'ZERO-B Beregning'!D210,'ZERO-B Beregning'!F210))*_xlfn.XLOOKUP(51, År_etter_ferdigstillelse, f_tid_x_f_tek_d_0_01))</f>
        <v>0</v>
      </c>
      <c r="AD109" s="337">
        <f>IF(('Tillegg- Inndata GoF'!G107) = 0, 0,1.833*('Tillegg- Inndata GoF'!G107*('Tillegg- Inndata GoF'!L107*0.5+'Tillegg- Inndata GoF'!M107*0.8)*AG109*_xlfn.XLOOKUP(51, År_etter_ferdigstillelse,  f_tid_x_f_tek_d_0_01)))</f>
        <v>0</v>
      </c>
      <c r="AE109" s="333" cm="1">
        <f t="array" ref="AE109">IF(('Tillegg- Inndata GoF'!G107) = 0, 0,-0.8*('Tillegg- Inndata GoF'!G107)*AH109*('Tillegg- Inndata GoF'!E107/'Tillegg- Inndata GoF'!G107)*_xlfn.XLOOKUP(51, År_etter_ferdigstillelse,  IF(LEFT('Tillegg- Inndata GoF'!B107, 2)= 49, f_tid_x_f_tek_d_0_037, f_tid_x_f_tek_d_0_01)))</f>
        <v>0</v>
      </c>
      <c r="AF109" s="338" cm="1">
        <f t="array" ref="AF109">IF(('Tillegg- Inndata GoF'!G107) = 0, 0,-0.1*('Tillegg- Inndata GoF'!G107)*AI109*('Tillegg- Inndata GoF'!E107/'Tillegg- Inndata GoF'!G107)*_xlfn.XLOOKUP(51, År_etter_ferdigstillelse,  IF(LEFT('Tillegg- Inndata GoF'!B107, 2)= 49, f_tid_x_f_tek_d_0_037, f_tid_x_f_tek_d_0_01)))</f>
        <v>0</v>
      </c>
      <c r="AG109" s="572">
        <f>IF(('Tillegg- Inndata GoF'!G107) = 0, 0,'Tillegg- Inndata GoF'!X107*Faktorer!$Z$58)</f>
        <v>0</v>
      </c>
      <c r="AH109" s="573">
        <f>IF(('Tillegg- Inndata GoF'!G107) = 0, 0,'Tillegg- Inndata GoF'!Z107+('Tillegg- Inndata GoF'!X107+'Tillegg- Inndata GoF'!Y107)*(1-Faktorer!$Z$58)*0.5)</f>
        <v>0</v>
      </c>
      <c r="AI109" s="574">
        <f>IF(('Tillegg- Inndata GoF'!G107) = 0, 0,'Tillegg- Inndata GoF'!AA107+('Tillegg- Inndata GoF'!X107+'Tillegg- Inndata GoF'!Y107)*(1-Faktorer!$Z$58)*0.5)</f>
        <v>0</v>
      </c>
      <c r="AK109" s="90">
        <f t="shared" si="2"/>
        <v>0</v>
      </c>
      <c r="AL109" s="91">
        <f>'Tillegg- Res. detaljert GoF'!N109</f>
        <v>0</v>
      </c>
      <c r="AM109" s="91" t="str">
        <f>IF(F109=0,"",('Tillegg- Inndata GoF'!E109+'Tillegg- Inndata GoF'!F109)*ROUNDDOWN('Tillegg- Inndata GoF'!I109,0)*(1+'Tillegg- Inndata GoF'!K109))</f>
        <v/>
      </c>
    </row>
    <row r="110" spans="2:39">
      <c r="B110" s="327">
        <f>'Tillegg- Inndata GoF'!B108</f>
        <v>0</v>
      </c>
      <c r="C110" s="328">
        <f>'Tillegg- Inndata GoF'!C108</f>
        <v>0</v>
      </c>
      <c r="D110" s="329">
        <f>'Tillegg- Inndata GoF'!D108</f>
        <v>0</v>
      </c>
      <c r="E110" s="661" cm="1">
        <f t="array" ref="E110">SUM(IFERROR(F110:AF110,0))</f>
        <v>0</v>
      </c>
      <c r="F110" s="330">
        <f>'Tillegg- Inndata GoF'!E108</f>
        <v>0</v>
      </c>
      <c r="G110" s="330">
        <f>IF('Tillegg- Inndata GoF'!AB108="Ja", -0.8*'Tillegg- Res. detaljert GoF'!$F110, 0)</f>
        <v>0</v>
      </c>
      <c r="H110" s="330">
        <f>IF('Tillegg- Inndata GoF'!AC108="Ja", -0.4*'Tillegg- Res. detaljert GoF'!$F110, 0)</f>
        <v>0</v>
      </c>
      <c r="I110" s="330">
        <f>IF('Tillegg- Inndata GoF'!AD108="Ja", -1*'Tillegg- Res. detaljert GoF'!$F110, 0)</f>
        <v>0</v>
      </c>
      <c r="J110" s="330">
        <f>'Tillegg- Inndata GoF'!O108*'Tillegg- Inndata GoF'!P108</f>
        <v>0</v>
      </c>
      <c r="K110" s="330">
        <f>MAX(-0.75*(SUM('Tillegg- Res. detaljert GoF'!F110:J110)),-'Tillegg- Inndata GoF'!O108*'Tillegg- Inndata GoF'!Q108)</f>
        <v>0</v>
      </c>
      <c r="L110" s="330">
        <f>'Tillegg- Inndata GoF'!S108*'Tillegg- Inndata GoF'!T108</f>
        <v>0</v>
      </c>
      <c r="M110" s="330">
        <f>MAX(-0.75*(SUM('Tillegg- Res. detaljert GoF'!F110:I110,L110)),-'Tillegg- Inndata GoF'!S108*'Tillegg- Inndata GoF'!U108)</f>
        <v>0</v>
      </c>
      <c r="N110" s="331">
        <f>'Tillegg- Inndata GoF'!F108</f>
        <v>0</v>
      </c>
      <c r="O110" s="330">
        <f>'Tillegg- Inndata GoF'!O108*'Tillegg- Inndata GoF'!R108</f>
        <v>0</v>
      </c>
      <c r="P110" s="332">
        <f>'Tillegg- Inndata GoF'!S108*'Tillegg- Inndata GoF'!V108</f>
        <v>0</v>
      </c>
      <c r="Q110" s="333">
        <f>SUM(F110:J110,L110)*'Tillegg- Inndata GoF'!K108</f>
        <v>0</v>
      </c>
      <c r="R110" s="333">
        <f>(K110+M110)*'Tillegg- Inndata GoF'!K108</f>
        <v>0</v>
      </c>
      <c r="S110" s="333">
        <f>SUM(N110:P110)*'Tillegg- Inndata GoF'!K108</f>
        <v>0</v>
      </c>
      <c r="T110" s="334">
        <f>('Tillegg- Inndata GoF'!G108+'Tillegg- Inndata GoF'!O108+'Tillegg- Inndata GoF'!S108)*'Tillegg- Inndata GoF'!K108*Transport_utslipp_til_avfallshånderting_per_kg</f>
        <v>0</v>
      </c>
      <c r="U110" s="330">
        <f>IF('Tillegg- Inndata GoF'!E108 = 0, 0, 1.833*'Tillegg- Inndata GoF'!X108*'Tillegg- Inndata GoF'!K108*('Tillegg- Inndata GoF'!G108*('Tillegg- Inndata GoF'!L108*0.5+'Tillegg- Inndata GoF'!M108*0.8) + (12/44)*('Tillegg- Inndata GoF'!O108*'Tillegg- Inndata GoF'!Q108+'Tillegg- Inndata GoF'!S108*'Tillegg- Inndata GoF'!U108)))</f>
        <v>0</v>
      </c>
      <c r="V110" s="335">
        <f>IF('Tillegg- Inndata GoF'!G108 = 0, 0,  MAX(-SUM(F110:J110,L110)*'Tillegg- Inndata GoF'!L108, -0.114*IF('Tillegg- Inndata GoF'!H108 &gt; 49, _xlfn.XLOOKUP(49, År_etter_ferdigstillelse, karbon_opptak_faktor), _xlfn.XLOOKUP('Tillegg- Inndata GoF'!H108, År_etter_ferdigstillelse, karbon_opptak_faktor))*'Tillegg- Inndata GoF'!G108*'Tillegg- Inndata GoF'!L108*0.5))</f>
        <v>0</v>
      </c>
      <c r="W110" s="333">
        <f>IF('Tillegg- Inndata GoF'!G108=0,0,IF('Tillegg- Inndata GoF'!H108&gt;49,-0.064*'Tillegg- Inndata GoF'!G108*'Tillegg- Inndata GoF'!N108,-0.037*'Tillegg- Inndata GoF'!J108*'Tillegg- Inndata GoF'!N108))</f>
        <v>0</v>
      </c>
      <c r="X110" s="331" cm="1">
        <f t="array" ref="X110">IF(SUM(F110:J110,L110)=0, 0, SUM(F110:J110,L110)*(1+'Tillegg-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Y110" s="330" cm="1">
        <f t="array" ref="Y110">IF(X110=0, 0, SUM(K110,M110)*(1+'Tillegg-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Z110" s="336" cm="1">
        <f t="array" ref="Z110">IF(X110=0, 0, SUM(N110:P110)*(1+'Tillegg-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AA110" s="336" cm="1">
        <f t="array" ref="AA110">IF(X110=0, 0, ('Tillegg- Inndata GoF'!G108+'Tillegg- Inndata GoF'!O108+'Tillegg- Inndata GoF'!S108)*(1+'Tillegg- Inndata GoF'!K108)*Transport_utslipp_til_avfallshånderting_per_kg*IF('Tillegg- Inndata GoF'!H108&gt;50, 0, _xlfn.XLOOKUP('Tillegg- Inndata GoF'!H108, År_etter_ferdigstillelse, IF(VALUE(LEFT('Tillegg- Inndata GoF'!B108, 2))= 49, f_tid_x_f_tek_d_0_037_kumulativ, f_tid_x_f_tek_d_0_01_kumulativ))))</f>
        <v>0</v>
      </c>
      <c r="AB110" s="334" cm="1">
        <f t="array" ref="AB110">IF(X110=0, 0,1.833*'Tillegg- Inndata GoF'!J108*('Tillegg- Inndata GoF'!X108*_xlfn.XLOOKUP(IF('Tillegg- Inndata GoF'!I108&lt;2,'Tillegg- Inndata GoF'!H108,'Tillegg- Inndata GoF'!H108*2), År_etter_ferdigstillelse, Faktorer!$Z$7:$Z$58))*('Tillegg- Inndata GoF'!L108*0.5+'Tillegg- Inndata GoF'!M108*0.8)*_xlfn.XLOOKUP(IF('Tillegg- Inndata GoF'!I108&lt;2,'Tillegg- Inndata GoF'!H108,'Tillegg- Inndata GoF'!H108*2), År_etter_ferdigstillelse,  IF(LEFT('Tillegg- Inndata GoF'!B108, 2)= 49, f_tid_x_f_tek_d_0_037, f_tid_x_f_tek_d_0_01)))</f>
        <v>0</v>
      </c>
      <c r="AC110" s="335">
        <f>IF(('Tillegg- Inndata GoF'!G108) = 0, 0,(('Tillegg- Inndata GoF'!G108)*((AG110+AI110)*Transport_utslipp_til_avfallshånderting_per_kg)+('Tillegg- Inndata GoF'!Z108*'ZERO-B Beregning'!D210)*IF('ZERO-B Beregning'!F211=0,'ZERO-B Beregning'!D211,'ZERO-B Beregning'!F211))*_xlfn.XLOOKUP(51, År_etter_ferdigstillelse, f_tid_x_f_tek_d_0_01))</f>
        <v>0</v>
      </c>
      <c r="AD110" s="337">
        <f>IF(('Tillegg- Inndata GoF'!G108) = 0, 0,1.833*('Tillegg- Inndata GoF'!G108*('Tillegg- Inndata GoF'!L108*0.5+'Tillegg- Inndata GoF'!M108*0.8)*AG110*_xlfn.XLOOKUP(51, År_etter_ferdigstillelse,  f_tid_x_f_tek_d_0_01)))</f>
        <v>0</v>
      </c>
      <c r="AE110" s="333" cm="1">
        <f t="array" ref="AE110">IF(('Tillegg- Inndata GoF'!G108) = 0, 0,-0.8*('Tillegg- Inndata GoF'!G108)*AH110*('Tillegg- Inndata GoF'!E108/'Tillegg- Inndata GoF'!G108)*_xlfn.XLOOKUP(51, År_etter_ferdigstillelse,  IF(LEFT('Tillegg- Inndata GoF'!B108, 2)= 49, f_tid_x_f_tek_d_0_037, f_tid_x_f_tek_d_0_01)))</f>
        <v>0</v>
      </c>
      <c r="AF110" s="338" cm="1">
        <f t="array" ref="AF110">IF(('Tillegg- Inndata GoF'!G108) = 0, 0,-0.1*('Tillegg- Inndata GoF'!G108)*AI110*('Tillegg- Inndata GoF'!E108/'Tillegg- Inndata GoF'!G108)*_xlfn.XLOOKUP(51, År_etter_ferdigstillelse,  IF(LEFT('Tillegg- Inndata GoF'!B108, 2)= 49, f_tid_x_f_tek_d_0_037, f_tid_x_f_tek_d_0_01)))</f>
        <v>0</v>
      </c>
      <c r="AG110" s="572">
        <f>IF(('Tillegg- Inndata GoF'!G108) = 0, 0,'Tillegg- Inndata GoF'!X108*Faktorer!$Z$58)</f>
        <v>0</v>
      </c>
      <c r="AH110" s="573">
        <f>IF(('Tillegg- Inndata GoF'!G108) = 0, 0,'Tillegg- Inndata GoF'!Z108+('Tillegg- Inndata GoF'!X108+'Tillegg- Inndata GoF'!Y108)*(1-Faktorer!$Z$58)*0.5)</f>
        <v>0</v>
      </c>
      <c r="AI110" s="574">
        <f>IF(('Tillegg- Inndata GoF'!G108) = 0, 0,'Tillegg- Inndata GoF'!AA108+('Tillegg- Inndata GoF'!X108+'Tillegg- Inndata GoF'!Y108)*(1-Faktorer!$Z$58)*0.5)</f>
        <v>0</v>
      </c>
      <c r="AK110" s="90">
        <f t="shared" si="2"/>
        <v>0</v>
      </c>
      <c r="AL110" s="91">
        <f>'Tillegg- Res. detaljert GoF'!N110</f>
        <v>0</v>
      </c>
      <c r="AM110" s="91" t="str">
        <f>IF(F110=0,"",('Tillegg- Inndata GoF'!E110+'Tillegg- Inndata GoF'!F110)*ROUNDDOWN('Tillegg- Inndata GoF'!I110,0)*(1+'Tillegg- Inndata GoF'!K110))</f>
        <v/>
      </c>
    </row>
    <row r="111" spans="2:39">
      <c r="B111" s="327">
        <f>'Tillegg- Inndata GoF'!B109</f>
        <v>0</v>
      </c>
      <c r="C111" s="328">
        <f>'Tillegg- Inndata GoF'!C109</f>
        <v>0</v>
      </c>
      <c r="D111" s="329">
        <f>'Tillegg- Inndata GoF'!D109</f>
        <v>0</v>
      </c>
      <c r="E111" s="661" cm="1">
        <f t="array" ref="E111">SUM(IFERROR(F111:AF111,0))</f>
        <v>0</v>
      </c>
      <c r="F111" s="330">
        <f>'Tillegg- Inndata GoF'!E109</f>
        <v>0</v>
      </c>
      <c r="G111" s="330">
        <f>IF('Tillegg- Inndata GoF'!AB109="Ja", -0.8*'Tillegg- Res. detaljert GoF'!$F111, 0)</f>
        <v>0</v>
      </c>
      <c r="H111" s="330">
        <f>IF('Tillegg- Inndata GoF'!AC109="Ja", -0.4*'Tillegg- Res. detaljert GoF'!$F111, 0)</f>
        <v>0</v>
      </c>
      <c r="I111" s="330">
        <f>IF('Tillegg- Inndata GoF'!AD109="Ja", -1*'Tillegg- Res. detaljert GoF'!$F111, 0)</f>
        <v>0</v>
      </c>
      <c r="J111" s="330">
        <f>'Tillegg- Inndata GoF'!O109*'Tillegg- Inndata GoF'!P109</f>
        <v>0</v>
      </c>
      <c r="K111" s="330">
        <f>MAX(-0.75*(SUM('Tillegg- Res. detaljert GoF'!F111:J111)),-'Tillegg- Inndata GoF'!O109*'Tillegg- Inndata GoF'!Q109)</f>
        <v>0</v>
      </c>
      <c r="L111" s="330">
        <f>'Tillegg- Inndata GoF'!S109*'Tillegg- Inndata GoF'!T109</f>
        <v>0</v>
      </c>
      <c r="M111" s="330">
        <f>MAX(-0.75*(SUM('Tillegg- Res. detaljert GoF'!F111:I111,L111)),-'Tillegg- Inndata GoF'!S109*'Tillegg- Inndata GoF'!U109)</f>
        <v>0</v>
      </c>
      <c r="N111" s="331">
        <f>'Tillegg- Inndata GoF'!F109</f>
        <v>0</v>
      </c>
      <c r="O111" s="330">
        <f>'Tillegg- Inndata GoF'!O109*'Tillegg- Inndata GoF'!R109</f>
        <v>0</v>
      </c>
      <c r="P111" s="332">
        <f>'Tillegg- Inndata GoF'!S109*'Tillegg- Inndata GoF'!V109</f>
        <v>0</v>
      </c>
      <c r="Q111" s="333">
        <f>SUM(F111:J111,L111)*'Tillegg- Inndata GoF'!K109</f>
        <v>0</v>
      </c>
      <c r="R111" s="333">
        <f>(K111+M111)*'Tillegg- Inndata GoF'!K109</f>
        <v>0</v>
      </c>
      <c r="S111" s="333">
        <f>SUM(N111:P111)*'Tillegg- Inndata GoF'!K109</f>
        <v>0</v>
      </c>
      <c r="T111" s="334">
        <f>('Tillegg- Inndata GoF'!G109+'Tillegg- Inndata GoF'!O109+'Tillegg- Inndata GoF'!S109)*'Tillegg- Inndata GoF'!K109*Transport_utslipp_til_avfallshånderting_per_kg</f>
        <v>0</v>
      </c>
      <c r="U111" s="330">
        <f>IF('Tillegg- Inndata GoF'!E109 = 0, 0, 1.833*'Tillegg- Inndata GoF'!X109*'Tillegg- Inndata GoF'!K109*('Tillegg- Inndata GoF'!G109*('Tillegg- Inndata GoF'!L109*0.5+'Tillegg- Inndata GoF'!M109*0.8) + (12/44)*('Tillegg- Inndata GoF'!O109*'Tillegg- Inndata GoF'!Q109+'Tillegg- Inndata GoF'!S109*'Tillegg- Inndata GoF'!U109)))</f>
        <v>0</v>
      </c>
      <c r="V111" s="335">
        <f>IF('Tillegg- Inndata GoF'!G109 = 0, 0,  MAX(-SUM(F111:J111,L111)*'Tillegg- Inndata GoF'!L109, -0.114*IF('Tillegg- Inndata GoF'!H109 &gt; 49, _xlfn.XLOOKUP(49, År_etter_ferdigstillelse, karbon_opptak_faktor), _xlfn.XLOOKUP('Tillegg- Inndata GoF'!H109, År_etter_ferdigstillelse, karbon_opptak_faktor))*'Tillegg- Inndata GoF'!G109*'Tillegg- Inndata GoF'!L109*0.5))</f>
        <v>0</v>
      </c>
      <c r="W111" s="333">
        <f>IF('Tillegg- Inndata GoF'!G109=0,0,IF('Tillegg- Inndata GoF'!H109&gt;49,-0.064*'Tillegg- Inndata GoF'!G109*'Tillegg- Inndata GoF'!N109,-0.037*'Tillegg- Inndata GoF'!J109*'Tillegg- Inndata GoF'!N109))</f>
        <v>0</v>
      </c>
      <c r="X111" s="331" cm="1">
        <f t="array" ref="X111">IF(SUM(F111:J111,L111)=0, 0, SUM(F111:J111,L111)*(1+'Tillegg-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Y111" s="330" cm="1">
        <f t="array" ref="Y111">IF(X111=0, 0, SUM(K111,M111)*(1+'Tillegg-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Z111" s="336" cm="1">
        <f t="array" ref="Z111">IF(X111=0, 0, SUM(N111:P111)*(1+'Tillegg-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AA111" s="336" cm="1">
        <f t="array" ref="AA111">IF(X111=0, 0, ('Tillegg- Inndata GoF'!G109+'Tillegg- Inndata GoF'!O109+'Tillegg- Inndata GoF'!S109)*(1+'Tillegg- Inndata GoF'!K109)*Transport_utslipp_til_avfallshånderting_per_kg*IF('Tillegg- Inndata GoF'!H109&gt;50, 0, _xlfn.XLOOKUP('Tillegg- Inndata GoF'!H109, År_etter_ferdigstillelse, IF(VALUE(LEFT('Tillegg- Inndata GoF'!B109, 2))= 49, f_tid_x_f_tek_d_0_037_kumulativ, f_tid_x_f_tek_d_0_01_kumulativ))))</f>
        <v>0</v>
      </c>
      <c r="AB111" s="334" cm="1">
        <f t="array" ref="AB111">IF(X111=0, 0,1.833*'Tillegg- Inndata GoF'!J109*('Tillegg- Inndata GoF'!X109*_xlfn.XLOOKUP(IF('Tillegg- Inndata GoF'!I109&lt;2,'Tillegg- Inndata GoF'!H109,'Tillegg- Inndata GoF'!H109*2), År_etter_ferdigstillelse, Faktorer!$Z$7:$Z$58))*('Tillegg- Inndata GoF'!L109*0.5+'Tillegg- Inndata GoF'!M109*0.8)*_xlfn.XLOOKUP(IF('Tillegg- Inndata GoF'!I109&lt;2,'Tillegg- Inndata GoF'!H109,'Tillegg- Inndata GoF'!H109*2), År_etter_ferdigstillelse,  IF(LEFT('Tillegg- Inndata GoF'!B109, 2)= 49, f_tid_x_f_tek_d_0_037, f_tid_x_f_tek_d_0_01)))</f>
        <v>0</v>
      </c>
      <c r="AC111" s="335">
        <f>IF(('Tillegg- Inndata GoF'!G109) = 0, 0,(('Tillegg- Inndata GoF'!G109)*((AG111+AI111)*Transport_utslipp_til_avfallshånderting_per_kg)+('Tillegg- Inndata GoF'!Z109*'ZERO-B Beregning'!D211)*IF('ZERO-B Beregning'!F212=0,'ZERO-B Beregning'!D212,'ZERO-B Beregning'!F212))*_xlfn.XLOOKUP(51, År_etter_ferdigstillelse, f_tid_x_f_tek_d_0_01))</f>
        <v>0</v>
      </c>
      <c r="AD111" s="337">
        <f>IF(('Tillegg- Inndata GoF'!G109) = 0, 0,1.833*('Tillegg- Inndata GoF'!G109*('Tillegg- Inndata GoF'!L109*0.5+'Tillegg- Inndata GoF'!M109*0.8)*AG111*_xlfn.XLOOKUP(51, År_etter_ferdigstillelse,  f_tid_x_f_tek_d_0_01)))</f>
        <v>0</v>
      </c>
      <c r="AE111" s="333" cm="1">
        <f t="array" ref="AE111">IF(('Tillegg- Inndata GoF'!G109) = 0, 0,-0.8*('Tillegg- Inndata GoF'!G109)*AH111*('Tillegg- Inndata GoF'!E109/'Tillegg- Inndata GoF'!G109)*_xlfn.XLOOKUP(51, År_etter_ferdigstillelse,  IF(LEFT('Tillegg- Inndata GoF'!B109, 2)= 49, f_tid_x_f_tek_d_0_037, f_tid_x_f_tek_d_0_01)))</f>
        <v>0</v>
      </c>
      <c r="AF111" s="338" cm="1">
        <f t="array" ref="AF111">IF(('Tillegg- Inndata GoF'!G109) = 0, 0,-0.1*('Tillegg- Inndata GoF'!G109)*AI111*('Tillegg- Inndata GoF'!E109/'Tillegg- Inndata GoF'!G109)*_xlfn.XLOOKUP(51, År_etter_ferdigstillelse,  IF(LEFT('Tillegg- Inndata GoF'!B109, 2)= 49, f_tid_x_f_tek_d_0_037, f_tid_x_f_tek_d_0_01)))</f>
        <v>0</v>
      </c>
      <c r="AG111" s="572">
        <f>IF(('Tillegg- Inndata GoF'!G109) = 0, 0,'Tillegg- Inndata GoF'!X109*Faktorer!$Z$58)</f>
        <v>0</v>
      </c>
      <c r="AH111" s="573">
        <f>IF(('Tillegg- Inndata GoF'!G109) = 0, 0,'Tillegg- Inndata GoF'!Z109+('Tillegg- Inndata GoF'!X109+'Tillegg- Inndata GoF'!Y109)*(1-Faktorer!$Z$58)*0.5)</f>
        <v>0</v>
      </c>
      <c r="AI111" s="574">
        <f>IF(('Tillegg- Inndata GoF'!G109) = 0, 0,'Tillegg- Inndata GoF'!AA109+('Tillegg- Inndata GoF'!X109+'Tillegg- Inndata GoF'!Y109)*(1-Faktorer!$Z$58)*0.5)</f>
        <v>0</v>
      </c>
      <c r="AK111" s="90">
        <f t="shared" si="2"/>
        <v>0</v>
      </c>
      <c r="AL111" s="91">
        <f>'Tillegg- Res. detaljert GoF'!N111</f>
        <v>0</v>
      </c>
      <c r="AM111" s="91" t="str">
        <f>IF(F111=0,"",('Tillegg- Inndata GoF'!E111+'Tillegg- Inndata GoF'!F111)*ROUNDDOWN('Tillegg- Inndata GoF'!I111,0)*(1+'Tillegg- Inndata GoF'!K111))</f>
        <v/>
      </c>
    </row>
    <row r="112" spans="2:39">
      <c r="B112" s="327">
        <f>'Tillegg- Inndata GoF'!B110</f>
        <v>0</v>
      </c>
      <c r="C112" s="328">
        <f>'Tillegg- Inndata GoF'!C110</f>
        <v>0</v>
      </c>
      <c r="D112" s="329">
        <f>'Tillegg- Inndata GoF'!D110</f>
        <v>0</v>
      </c>
      <c r="E112" s="661" cm="1">
        <f t="array" ref="E112">SUM(IFERROR(F112:AF112,0))</f>
        <v>0</v>
      </c>
      <c r="F112" s="330">
        <f>'Tillegg- Inndata GoF'!E110</f>
        <v>0</v>
      </c>
      <c r="G112" s="330">
        <f>IF('Tillegg- Inndata GoF'!AB110="Ja", -0.8*'Tillegg- Res. detaljert GoF'!$F112, 0)</f>
        <v>0</v>
      </c>
      <c r="H112" s="330">
        <f>IF('Tillegg- Inndata GoF'!AC110="Ja", -0.4*'Tillegg- Res. detaljert GoF'!$F112, 0)</f>
        <v>0</v>
      </c>
      <c r="I112" s="330">
        <f>IF('Tillegg- Inndata GoF'!AD110="Ja", -1*'Tillegg- Res. detaljert GoF'!$F112, 0)</f>
        <v>0</v>
      </c>
      <c r="J112" s="330">
        <f>'Tillegg- Inndata GoF'!O110*'Tillegg- Inndata GoF'!P110</f>
        <v>0</v>
      </c>
      <c r="K112" s="330">
        <f>MAX(-0.75*(SUM('Tillegg- Res. detaljert GoF'!F112:J112)),-'Tillegg- Inndata GoF'!O110*'Tillegg- Inndata GoF'!Q110)</f>
        <v>0</v>
      </c>
      <c r="L112" s="330">
        <f>'Tillegg- Inndata GoF'!S110*'Tillegg- Inndata GoF'!T110</f>
        <v>0</v>
      </c>
      <c r="M112" s="330">
        <f>MAX(-0.75*(SUM('Tillegg- Res. detaljert GoF'!F112:I112,L112)),-'Tillegg- Inndata GoF'!S110*'Tillegg- Inndata GoF'!U110)</f>
        <v>0</v>
      </c>
      <c r="N112" s="331">
        <f>'Tillegg- Inndata GoF'!F110</f>
        <v>0</v>
      </c>
      <c r="O112" s="330">
        <f>'Tillegg- Inndata GoF'!O110*'Tillegg- Inndata GoF'!R110</f>
        <v>0</v>
      </c>
      <c r="P112" s="332">
        <f>'Tillegg- Inndata GoF'!S110*'Tillegg- Inndata GoF'!V110</f>
        <v>0</v>
      </c>
      <c r="Q112" s="333">
        <f>SUM(F112:J112,L112)*'Tillegg- Inndata GoF'!K110</f>
        <v>0</v>
      </c>
      <c r="R112" s="333">
        <f>(K112+M112)*'Tillegg- Inndata GoF'!K110</f>
        <v>0</v>
      </c>
      <c r="S112" s="333">
        <f>SUM(N112:P112)*'Tillegg- Inndata GoF'!K110</f>
        <v>0</v>
      </c>
      <c r="T112" s="334">
        <f>('Tillegg- Inndata GoF'!G110+'Tillegg- Inndata GoF'!O110+'Tillegg- Inndata GoF'!S110)*'Tillegg- Inndata GoF'!K110*Transport_utslipp_til_avfallshånderting_per_kg</f>
        <v>0</v>
      </c>
      <c r="U112" s="330">
        <f>IF('Tillegg- Inndata GoF'!E110 = 0, 0, 1.833*'Tillegg- Inndata GoF'!X110*'Tillegg- Inndata GoF'!K110*('Tillegg- Inndata GoF'!G110*('Tillegg- Inndata GoF'!L110*0.5+'Tillegg- Inndata GoF'!M110*0.8) + (12/44)*('Tillegg- Inndata GoF'!O110*'Tillegg- Inndata GoF'!Q110+'Tillegg- Inndata GoF'!S110*'Tillegg- Inndata GoF'!U110)))</f>
        <v>0</v>
      </c>
      <c r="V112" s="335">
        <f>IF('Tillegg- Inndata GoF'!G110 = 0, 0,  MAX(-SUM(F112:J112,L112)*'Tillegg- Inndata GoF'!L110, -0.114*IF('Tillegg- Inndata GoF'!H110 &gt; 49, _xlfn.XLOOKUP(49, År_etter_ferdigstillelse, karbon_opptak_faktor), _xlfn.XLOOKUP('Tillegg- Inndata GoF'!H110, År_etter_ferdigstillelse, karbon_opptak_faktor))*'Tillegg- Inndata GoF'!G110*'Tillegg- Inndata GoF'!L110*0.5))</f>
        <v>0</v>
      </c>
      <c r="W112" s="333">
        <f>IF('Tillegg- Inndata GoF'!G110=0,0,IF('Tillegg- Inndata GoF'!H110&gt;49,-0.064*'Tillegg- Inndata GoF'!G110*'Tillegg- Inndata GoF'!N110,-0.037*'Tillegg- Inndata GoF'!J110*'Tillegg- Inndata GoF'!N110))</f>
        <v>0</v>
      </c>
      <c r="X112" s="331" cm="1">
        <f t="array" ref="X112">IF(SUM(F112:J112,L112)=0, 0, SUM(F112:J112,L112)*(1+'Tillegg-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Y112" s="330" cm="1">
        <f t="array" ref="Y112">IF(X112=0, 0, SUM(K112,M112)*(1+'Tillegg-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Z112" s="336" cm="1">
        <f t="array" ref="Z112">IF(X112=0, 0, SUM(N112:P112)*(1+'Tillegg-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AA112" s="336" cm="1">
        <f t="array" ref="AA112">IF(X112=0, 0, ('Tillegg- Inndata GoF'!G110+'Tillegg- Inndata GoF'!O110+'Tillegg- Inndata GoF'!S110)*(1+'Tillegg- Inndata GoF'!K110)*Transport_utslipp_til_avfallshånderting_per_kg*IF('Tillegg- Inndata GoF'!H110&gt;50, 0, _xlfn.XLOOKUP('Tillegg- Inndata GoF'!H110, År_etter_ferdigstillelse, IF(VALUE(LEFT('Tillegg- Inndata GoF'!B110, 2))= 49, f_tid_x_f_tek_d_0_037_kumulativ, f_tid_x_f_tek_d_0_01_kumulativ))))</f>
        <v>0</v>
      </c>
      <c r="AB112" s="334" cm="1">
        <f t="array" ref="AB112">IF(X112=0, 0,1.833*'Tillegg- Inndata GoF'!J110*('Tillegg- Inndata GoF'!X110*_xlfn.XLOOKUP(IF('Tillegg- Inndata GoF'!I110&lt;2,'Tillegg- Inndata GoF'!H110,'Tillegg- Inndata GoF'!H110*2), År_etter_ferdigstillelse, Faktorer!$Z$7:$Z$58))*('Tillegg- Inndata GoF'!L110*0.5+'Tillegg- Inndata GoF'!M110*0.8)*_xlfn.XLOOKUP(IF('Tillegg- Inndata GoF'!I110&lt;2,'Tillegg- Inndata GoF'!H110,'Tillegg- Inndata GoF'!H110*2), År_etter_ferdigstillelse,  IF(LEFT('Tillegg- Inndata GoF'!B110, 2)= 49, f_tid_x_f_tek_d_0_037, f_tid_x_f_tek_d_0_01)))</f>
        <v>0</v>
      </c>
      <c r="AC112" s="335">
        <f>IF(('Tillegg- Inndata GoF'!G110) = 0, 0,(('Tillegg- Inndata GoF'!G110)*((AG112+AI112)*Transport_utslipp_til_avfallshånderting_per_kg)+('Tillegg- Inndata GoF'!Z110*'ZERO-B Beregning'!D212)*IF('ZERO-B Beregning'!F213=0,'ZERO-B Beregning'!D213,'ZERO-B Beregning'!F213))*_xlfn.XLOOKUP(51, År_etter_ferdigstillelse, f_tid_x_f_tek_d_0_01))</f>
        <v>0</v>
      </c>
      <c r="AD112" s="337">
        <f>IF(('Tillegg- Inndata GoF'!G110) = 0, 0,1.833*('Tillegg- Inndata GoF'!G110*('Tillegg- Inndata GoF'!L110*0.5+'Tillegg- Inndata GoF'!M110*0.8)*AG112*_xlfn.XLOOKUP(51, År_etter_ferdigstillelse,  f_tid_x_f_tek_d_0_01)))</f>
        <v>0</v>
      </c>
      <c r="AE112" s="333" cm="1">
        <f t="array" ref="AE112">IF(('Tillegg- Inndata GoF'!G110) = 0, 0,-0.8*('Tillegg- Inndata GoF'!G110)*AH112*('Tillegg- Inndata GoF'!E110/'Tillegg- Inndata GoF'!G110)*_xlfn.XLOOKUP(51, År_etter_ferdigstillelse,  IF(LEFT('Tillegg- Inndata GoF'!B110, 2)= 49, f_tid_x_f_tek_d_0_037, f_tid_x_f_tek_d_0_01)))</f>
        <v>0</v>
      </c>
      <c r="AF112" s="338" cm="1">
        <f t="array" ref="AF112">IF(('Tillegg- Inndata GoF'!G110) = 0, 0,-0.1*('Tillegg- Inndata GoF'!G110)*AI112*('Tillegg- Inndata GoF'!E110/'Tillegg- Inndata GoF'!G110)*_xlfn.XLOOKUP(51, År_etter_ferdigstillelse,  IF(LEFT('Tillegg- Inndata GoF'!B110, 2)= 49, f_tid_x_f_tek_d_0_037, f_tid_x_f_tek_d_0_01)))</f>
        <v>0</v>
      </c>
      <c r="AG112" s="572">
        <f>IF(('Tillegg- Inndata GoF'!G110) = 0, 0,'Tillegg- Inndata GoF'!X110*Faktorer!$Z$58)</f>
        <v>0</v>
      </c>
      <c r="AH112" s="573">
        <f>IF(('Tillegg- Inndata GoF'!G110) = 0, 0,'Tillegg- Inndata GoF'!Z110+('Tillegg- Inndata GoF'!X110+'Tillegg- Inndata GoF'!Y110)*(1-Faktorer!$Z$58)*0.5)</f>
        <v>0</v>
      </c>
      <c r="AI112" s="574">
        <f>IF(('Tillegg- Inndata GoF'!G110) = 0, 0,'Tillegg- Inndata GoF'!AA110+('Tillegg- Inndata GoF'!X110+'Tillegg- Inndata GoF'!Y110)*(1-Faktorer!$Z$58)*0.5)</f>
        <v>0</v>
      </c>
      <c r="AK112" s="90">
        <f t="shared" si="2"/>
        <v>0</v>
      </c>
      <c r="AL112" s="91">
        <f>'Tillegg- Res. detaljert GoF'!N112</f>
        <v>0</v>
      </c>
      <c r="AM112" s="91" t="str">
        <f>IF(F112=0,"",('Tillegg- Inndata GoF'!E112+'Tillegg- Inndata GoF'!F112)*ROUNDDOWN('Tillegg- Inndata GoF'!I112,0)*(1+'Tillegg- Inndata GoF'!K112))</f>
        <v/>
      </c>
    </row>
    <row r="113" spans="2:39">
      <c r="B113" s="327">
        <f>'Tillegg- Inndata GoF'!B111</f>
        <v>0</v>
      </c>
      <c r="C113" s="328">
        <f>'Tillegg- Inndata GoF'!C111</f>
        <v>0</v>
      </c>
      <c r="D113" s="329">
        <f>'Tillegg- Inndata GoF'!D111</f>
        <v>0</v>
      </c>
      <c r="E113" s="661" cm="1">
        <f t="array" ref="E113">SUM(IFERROR(F113:AF113,0))</f>
        <v>0</v>
      </c>
      <c r="F113" s="330">
        <f>'Tillegg- Inndata GoF'!E111</f>
        <v>0</v>
      </c>
      <c r="G113" s="330">
        <f>IF('Tillegg- Inndata GoF'!AB111="Ja", -0.8*'Tillegg- Res. detaljert GoF'!$F113, 0)</f>
        <v>0</v>
      </c>
      <c r="H113" s="330">
        <f>IF('Tillegg- Inndata GoF'!AC111="Ja", -0.4*'Tillegg- Res. detaljert GoF'!$F113, 0)</f>
        <v>0</v>
      </c>
      <c r="I113" s="330">
        <f>IF('Tillegg- Inndata GoF'!AD111="Ja", -1*'Tillegg- Res. detaljert GoF'!$F113, 0)</f>
        <v>0</v>
      </c>
      <c r="J113" s="330">
        <f>'Tillegg- Inndata GoF'!O111*'Tillegg- Inndata GoF'!P111</f>
        <v>0</v>
      </c>
      <c r="K113" s="330">
        <f>MAX(-0.75*(SUM('Tillegg- Res. detaljert GoF'!F113:J113)),-'Tillegg- Inndata GoF'!O111*'Tillegg- Inndata GoF'!Q111)</f>
        <v>0</v>
      </c>
      <c r="L113" s="330">
        <f>'Tillegg- Inndata GoF'!S111*'Tillegg- Inndata GoF'!T111</f>
        <v>0</v>
      </c>
      <c r="M113" s="330">
        <f>MAX(-0.75*(SUM('Tillegg- Res. detaljert GoF'!F113:I113,L113)),-'Tillegg- Inndata GoF'!S111*'Tillegg- Inndata GoF'!U111)</f>
        <v>0</v>
      </c>
      <c r="N113" s="331">
        <f>'Tillegg- Inndata GoF'!F111</f>
        <v>0</v>
      </c>
      <c r="O113" s="330">
        <f>'Tillegg- Inndata GoF'!O111*'Tillegg- Inndata GoF'!R111</f>
        <v>0</v>
      </c>
      <c r="P113" s="332">
        <f>'Tillegg- Inndata GoF'!S111*'Tillegg- Inndata GoF'!V111</f>
        <v>0</v>
      </c>
      <c r="Q113" s="333">
        <f>SUM(F113:J113,L113)*'Tillegg- Inndata GoF'!K111</f>
        <v>0</v>
      </c>
      <c r="R113" s="333">
        <f>(K113+M113)*'Tillegg- Inndata GoF'!K111</f>
        <v>0</v>
      </c>
      <c r="S113" s="333">
        <f>SUM(N113:P113)*'Tillegg- Inndata GoF'!K111</f>
        <v>0</v>
      </c>
      <c r="T113" s="334">
        <f>('Tillegg- Inndata GoF'!G111+'Tillegg- Inndata GoF'!O111+'Tillegg- Inndata GoF'!S111)*'Tillegg- Inndata GoF'!K111*Transport_utslipp_til_avfallshånderting_per_kg</f>
        <v>0</v>
      </c>
      <c r="U113" s="330">
        <f>IF('Tillegg- Inndata GoF'!E111 = 0, 0, 1.833*'Tillegg- Inndata GoF'!X111*'Tillegg- Inndata GoF'!K111*('Tillegg- Inndata GoF'!G111*('Tillegg- Inndata GoF'!L111*0.5+'Tillegg- Inndata GoF'!M111*0.8) + (12/44)*('Tillegg- Inndata GoF'!O111*'Tillegg- Inndata GoF'!Q111+'Tillegg- Inndata GoF'!S111*'Tillegg- Inndata GoF'!U111)))</f>
        <v>0</v>
      </c>
      <c r="V113" s="335">
        <f>IF('Tillegg- Inndata GoF'!G111 = 0, 0,  MAX(-SUM(F113:J113,L113)*'Tillegg- Inndata GoF'!L111, -0.114*IF('Tillegg- Inndata GoF'!H111 &gt; 49, _xlfn.XLOOKUP(49, År_etter_ferdigstillelse, karbon_opptak_faktor), _xlfn.XLOOKUP('Tillegg- Inndata GoF'!H111, År_etter_ferdigstillelse, karbon_opptak_faktor))*'Tillegg- Inndata GoF'!G111*'Tillegg- Inndata GoF'!L111*0.5))</f>
        <v>0</v>
      </c>
      <c r="W113" s="333">
        <f>IF('Tillegg- Inndata GoF'!G111=0,0,IF('Tillegg- Inndata GoF'!H111&gt;49,-0.064*'Tillegg- Inndata GoF'!G111*'Tillegg- Inndata GoF'!N111,-0.037*'Tillegg- Inndata GoF'!J111*'Tillegg- Inndata GoF'!N111))</f>
        <v>0</v>
      </c>
      <c r="X113" s="331" cm="1">
        <f t="array" ref="X113">IF(SUM(F113:J113,L113)=0, 0, SUM(F113:J113,L113)*(1+'Tillegg-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Y113" s="330" cm="1">
        <f t="array" ref="Y113">IF(X113=0, 0, SUM(K113,M113)*(1+'Tillegg-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Z113" s="336" cm="1">
        <f t="array" ref="Z113">IF(X113=0, 0, SUM(N113:P113)*(1+'Tillegg-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AA113" s="336" cm="1">
        <f t="array" ref="AA113">IF(X113=0, 0, ('Tillegg- Inndata GoF'!G111+'Tillegg- Inndata GoF'!O111+'Tillegg- Inndata GoF'!S111)*(1+'Tillegg- Inndata GoF'!K111)*Transport_utslipp_til_avfallshånderting_per_kg*IF('Tillegg- Inndata GoF'!H111&gt;50, 0, _xlfn.XLOOKUP('Tillegg- Inndata GoF'!H111, År_etter_ferdigstillelse, IF(VALUE(LEFT('Tillegg- Inndata GoF'!B111, 2))= 49, f_tid_x_f_tek_d_0_037_kumulativ, f_tid_x_f_tek_d_0_01_kumulativ))))</f>
        <v>0</v>
      </c>
      <c r="AB113" s="334" cm="1">
        <f t="array" ref="AB113">IF(X113=0, 0,1.833*'Tillegg- Inndata GoF'!J111*('Tillegg- Inndata GoF'!X111*_xlfn.XLOOKUP(IF('Tillegg- Inndata GoF'!I111&lt;2,'Tillegg- Inndata GoF'!H111,'Tillegg- Inndata GoF'!H111*2), År_etter_ferdigstillelse, Faktorer!$Z$7:$Z$58))*('Tillegg- Inndata GoF'!L111*0.5+'Tillegg- Inndata GoF'!M111*0.8)*_xlfn.XLOOKUP(IF('Tillegg- Inndata GoF'!I111&lt;2,'Tillegg- Inndata GoF'!H111,'Tillegg- Inndata GoF'!H111*2), År_etter_ferdigstillelse,  IF(LEFT('Tillegg- Inndata GoF'!B111, 2)= 49, f_tid_x_f_tek_d_0_037, f_tid_x_f_tek_d_0_01)))</f>
        <v>0</v>
      </c>
      <c r="AC113" s="335">
        <f>IF(('Tillegg- Inndata GoF'!G111) = 0, 0,(('Tillegg- Inndata GoF'!G111)*((AG113+AI113)*Transport_utslipp_til_avfallshånderting_per_kg)+('Tillegg- Inndata GoF'!Z111*'ZERO-B Beregning'!D213)*IF('ZERO-B Beregning'!F214=0,'ZERO-B Beregning'!D214,'ZERO-B Beregning'!F214))*_xlfn.XLOOKUP(51, År_etter_ferdigstillelse, f_tid_x_f_tek_d_0_01))</f>
        <v>0</v>
      </c>
      <c r="AD113" s="337">
        <f>IF(('Tillegg- Inndata GoF'!G111) = 0, 0,1.833*('Tillegg- Inndata GoF'!G111*('Tillegg- Inndata GoF'!L111*0.5+'Tillegg- Inndata GoF'!M111*0.8)*AG113*_xlfn.XLOOKUP(51, År_etter_ferdigstillelse,  f_tid_x_f_tek_d_0_01)))</f>
        <v>0</v>
      </c>
      <c r="AE113" s="333" cm="1">
        <f t="array" ref="AE113">IF(('Tillegg- Inndata GoF'!G111) = 0, 0,-0.8*('Tillegg- Inndata GoF'!G111)*AH113*('Tillegg- Inndata GoF'!E111/'Tillegg- Inndata GoF'!G111)*_xlfn.XLOOKUP(51, År_etter_ferdigstillelse,  IF(LEFT('Tillegg- Inndata GoF'!B111, 2)= 49, f_tid_x_f_tek_d_0_037, f_tid_x_f_tek_d_0_01)))</f>
        <v>0</v>
      </c>
      <c r="AF113" s="338" cm="1">
        <f t="array" ref="AF113">IF(('Tillegg- Inndata GoF'!G111) = 0, 0,-0.1*('Tillegg- Inndata GoF'!G111)*AI113*('Tillegg- Inndata GoF'!E111/'Tillegg- Inndata GoF'!G111)*_xlfn.XLOOKUP(51, År_etter_ferdigstillelse,  IF(LEFT('Tillegg- Inndata GoF'!B111, 2)= 49, f_tid_x_f_tek_d_0_037, f_tid_x_f_tek_d_0_01)))</f>
        <v>0</v>
      </c>
      <c r="AG113" s="572">
        <f>IF(('Tillegg- Inndata GoF'!G111) = 0, 0,'Tillegg- Inndata GoF'!X111*Faktorer!$Z$58)</f>
        <v>0</v>
      </c>
      <c r="AH113" s="573">
        <f>IF(('Tillegg- Inndata GoF'!G111) = 0, 0,'Tillegg- Inndata GoF'!Z111+('Tillegg- Inndata GoF'!X111+'Tillegg- Inndata GoF'!Y111)*(1-Faktorer!$Z$58)*0.5)</f>
        <v>0</v>
      </c>
      <c r="AI113" s="574">
        <f>IF(('Tillegg- Inndata GoF'!G111) = 0, 0,'Tillegg- Inndata GoF'!AA111+('Tillegg- Inndata GoF'!X111+'Tillegg- Inndata GoF'!Y111)*(1-Faktorer!$Z$58)*0.5)</f>
        <v>0</v>
      </c>
      <c r="AK113" s="90">
        <f t="shared" si="2"/>
        <v>0</v>
      </c>
      <c r="AL113" s="91">
        <f>'Tillegg- Res. detaljert GoF'!N113</f>
        <v>0</v>
      </c>
      <c r="AM113" s="91" t="str">
        <f>IF(F113=0,"",('Tillegg- Inndata GoF'!E113+'Tillegg- Inndata GoF'!F113)*ROUNDDOWN('Tillegg- Inndata GoF'!I113,0)*(1+'Tillegg- Inndata GoF'!K113))</f>
        <v/>
      </c>
    </row>
    <row r="114" spans="2:39">
      <c r="B114" s="327">
        <f>'Tillegg- Inndata GoF'!B112</f>
        <v>0</v>
      </c>
      <c r="C114" s="328">
        <f>'Tillegg- Inndata GoF'!C112</f>
        <v>0</v>
      </c>
      <c r="D114" s="329">
        <f>'Tillegg- Inndata GoF'!D112</f>
        <v>0</v>
      </c>
      <c r="E114" s="661" cm="1">
        <f t="array" ref="E114">SUM(IFERROR(F114:AF114,0))</f>
        <v>0</v>
      </c>
      <c r="F114" s="330">
        <f>'Tillegg- Inndata GoF'!E112</f>
        <v>0</v>
      </c>
      <c r="G114" s="330">
        <f>IF('Tillegg- Inndata GoF'!AB112="Ja", -0.8*'Tillegg- Res. detaljert GoF'!$F114, 0)</f>
        <v>0</v>
      </c>
      <c r="H114" s="330">
        <f>IF('Tillegg- Inndata GoF'!AC112="Ja", -0.4*'Tillegg- Res. detaljert GoF'!$F114, 0)</f>
        <v>0</v>
      </c>
      <c r="I114" s="330">
        <f>IF('Tillegg- Inndata GoF'!AD112="Ja", -1*'Tillegg- Res. detaljert GoF'!$F114, 0)</f>
        <v>0</v>
      </c>
      <c r="J114" s="330">
        <f>'Tillegg- Inndata GoF'!O112*'Tillegg- Inndata GoF'!P112</f>
        <v>0</v>
      </c>
      <c r="K114" s="330">
        <f>MAX(-0.75*(SUM('Tillegg- Res. detaljert GoF'!F114:J114)),-'Tillegg- Inndata GoF'!O112*'Tillegg- Inndata GoF'!Q112)</f>
        <v>0</v>
      </c>
      <c r="L114" s="330">
        <f>'Tillegg- Inndata GoF'!S112*'Tillegg- Inndata GoF'!T112</f>
        <v>0</v>
      </c>
      <c r="M114" s="330">
        <f>MAX(-0.75*(SUM('Tillegg- Res. detaljert GoF'!F114:I114,L114)),-'Tillegg- Inndata GoF'!S112*'Tillegg- Inndata GoF'!U112)</f>
        <v>0</v>
      </c>
      <c r="N114" s="331">
        <f>'Tillegg- Inndata GoF'!F112</f>
        <v>0</v>
      </c>
      <c r="O114" s="330">
        <f>'Tillegg- Inndata GoF'!O112*'Tillegg- Inndata GoF'!R112</f>
        <v>0</v>
      </c>
      <c r="P114" s="332">
        <f>'Tillegg- Inndata GoF'!S112*'Tillegg- Inndata GoF'!V112</f>
        <v>0</v>
      </c>
      <c r="Q114" s="333">
        <f>SUM(F114:J114,L114)*'Tillegg- Inndata GoF'!K112</f>
        <v>0</v>
      </c>
      <c r="R114" s="333">
        <f>(K114+M114)*'Tillegg- Inndata GoF'!K112</f>
        <v>0</v>
      </c>
      <c r="S114" s="333">
        <f>SUM(N114:P114)*'Tillegg- Inndata GoF'!K112</f>
        <v>0</v>
      </c>
      <c r="T114" s="334">
        <f>('Tillegg- Inndata GoF'!G112+'Tillegg- Inndata GoF'!O112+'Tillegg- Inndata GoF'!S112)*'Tillegg- Inndata GoF'!K112*Transport_utslipp_til_avfallshånderting_per_kg</f>
        <v>0</v>
      </c>
      <c r="U114" s="330">
        <f>IF('Tillegg- Inndata GoF'!E112 = 0, 0, 1.833*'Tillegg- Inndata GoF'!X112*'Tillegg- Inndata GoF'!K112*('Tillegg- Inndata GoF'!G112*('Tillegg- Inndata GoF'!L112*0.5+'Tillegg- Inndata GoF'!M112*0.8) + (12/44)*('Tillegg- Inndata GoF'!O112*'Tillegg- Inndata GoF'!Q112+'Tillegg- Inndata GoF'!S112*'Tillegg- Inndata GoF'!U112)))</f>
        <v>0</v>
      </c>
      <c r="V114" s="335">
        <f>IF('Tillegg- Inndata GoF'!G112 = 0, 0,  MAX(-SUM(F114:J114,L114)*'Tillegg- Inndata GoF'!L112, -0.114*IF('Tillegg- Inndata GoF'!H112 &gt; 49, _xlfn.XLOOKUP(49, År_etter_ferdigstillelse, karbon_opptak_faktor), _xlfn.XLOOKUP('Tillegg- Inndata GoF'!H112, År_etter_ferdigstillelse, karbon_opptak_faktor))*'Tillegg- Inndata GoF'!G112*'Tillegg- Inndata GoF'!L112*0.5))</f>
        <v>0</v>
      </c>
      <c r="W114" s="333">
        <f>IF('Tillegg- Inndata GoF'!G112=0,0,IF('Tillegg- Inndata GoF'!H112&gt;49,-0.064*'Tillegg- Inndata GoF'!G112*'Tillegg- Inndata GoF'!N112,-0.037*'Tillegg- Inndata GoF'!J112*'Tillegg- Inndata GoF'!N112))</f>
        <v>0</v>
      </c>
      <c r="X114" s="331" cm="1">
        <f t="array" ref="X114">IF(SUM(F114:J114,L114)=0, 0, SUM(F114:J114,L114)*(1+'Tillegg-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Y114" s="330" cm="1">
        <f t="array" ref="Y114">IF(X114=0, 0, SUM(K114,M114)*(1+'Tillegg-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Z114" s="336" cm="1">
        <f t="array" ref="Z114">IF(X114=0, 0, SUM(N114:P114)*(1+'Tillegg-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AA114" s="336" cm="1">
        <f t="array" ref="AA114">IF(X114=0, 0, ('Tillegg- Inndata GoF'!G112+'Tillegg- Inndata GoF'!O112+'Tillegg- Inndata GoF'!S112)*(1+'Tillegg- Inndata GoF'!K112)*Transport_utslipp_til_avfallshånderting_per_kg*IF('Tillegg- Inndata GoF'!H112&gt;50, 0, _xlfn.XLOOKUP('Tillegg- Inndata GoF'!H112, År_etter_ferdigstillelse, IF(VALUE(LEFT('Tillegg- Inndata GoF'!B112, 2))= 49, f_tid_x_f_tek_d_0_037_kumulativ, f_tid_x_f_tek_d_0_01_kumulativ))))</f>
        <v>0</v>
      </c>
      <c r="AB114" s="334" cm="1">
        <f t="array" ref="AB114">IF(X114=0, 0,1.833*'Tillegg- Inndata GoF'!J112*('Tillegg- Inndata GoF'!X112*_xlfn.XLOOKUP(IF('Tillegg- Inndata GoF'!I112&lt;2,'Tillegg- Inndata GoF'!H112,'Tillegg- Inndata GoF'!H112*2), År_etter_ferdigstillelse, Faktorer!$Z$7:$Z$58))*('Tillegg- Inndata GoF'!L112*0.5+'Tillegg- Inndata GoF'!M112*0.8)*_xlfn.XLOOKUP(IF('Tillegg- Inndata GoF'!I112&lt;2,'Tillegg- Inndata GoF'!H112,'Tillegg- Inndata GoF'!H112*2), År_etter_ferdigstillelse,  IF(LEFT('Tillegg- Inndata GoF'!B112, 2)= 49, f_tid_x_f_tek_d_0_037, f_tid_x_f_tek_d_0_01)))</f>
        <v>0</v>
      </c>
      <c r="AC114" s="335">
        <f>IF(('Tillegg- Inndata GoF'!G112) = 0, 0,(('Tillegg- Inndata GoF'!G112)*((AG114+AI114)*Transport_utslipp_til_avfallshånderting_per_kg)+('Tillegg- Inndata GoF'!Z112*'ZERO-B Beregning'!D214)*IF('ZERO-B Beregning'!F215=0,'ZERO-B Beregning'!D215,'ZERO-B Beregning'!F215))*_xlfn.XLOOKUP(51, År_etter_ferdigstillelse, f_tid_x_f_tek_d_0_01))</f>
        <v>0</v>
      </c>
      <c r="AD114" s="337">
        <f>IF(('Tillegg- Inndata GoF'!G112) = 0, 0,1.833*('Tillegg- Inndata GoF'!G112*('Tillegg- Inndata GoF'!L112*0.5+'Tillegg- Inndata GoF'!M112*0.8)*AG114*_xlfn.XLOOKUP(51, År_etter_ferdigstillelse,  f_tid_x_f_tek_d_0_01)))</f>
        <v>0</v>
      </c>
      <c r="AE114" s="333" cm="1">
        <f t="array" ref="AE114">IF(('Tillegg- Inndata GoF'!G112) = 0, 0,-0.8*('Tillegg- Inndata GoF'!G112)*AH114*('Tillegg- Inndata GoF'!E112/'Tillegg- Inndata GoF'!G112)*_xlfn.XLOOKUP(51, År_etter_ferdigstillelse,  IF(LEFT('Tillegg- Inndata GoF'!B112, 2)= 49, f_tid_x_f_tek_d_0_037, f_tid_x_f_tek_d_0_01)))</f>
        <v>0</v>
      </c>
      <c r="AF114" s="338" cm="1">
        <f t="array" ref="AF114">IF(('Tillegg- Inndata GoF'!G112) = 0, 0,-0.1*('Tillegg- Inndata GoF'!G112)*AI114*('Tillegg- Inndata GoF'!E112/'Tillegg- Inndata GoF'!G112)*_xlfn.XLOOKUP(51, År_etter_ferdigstillelse,  IF(LEFT('Tillegg- Inndata GoF'!B112, 2)= 49, f_tid_x_f_tek_d_0_037, f_tid_x_f_tek_d_0_01)))</f>
        <v>0</v>
      </c>
      <c r="AG114" s="572">
        <f>IF(('Tillegg- Inndata GoF'!G112) = 0, 0,'Tillegg- Inndata GoF'!X112*Faktorer!$Z$58)</f>
        <v>0</v>
      </c>
      <c r="AH114" s="573">
        <f>IF(('Tillegg- Inndata GoF'!G112) = 0, 0,'Tillegg- Inndata GoF'!Z112+('Tillegg- Inndata GoF'!X112+'Tillegg- Inndata GoF'!Y112)*(1-Faktorer!$Z$58)*0.5)</f>
        <v>0</v>
      </c>
      <c r="AI114" s="574">
        <f>IF(('Tillegg- Inndata GoF'!G112) = 0, 0,'Tillegg- Inndata GoF'!AA112+('Tillegg- Inndata GoF'!X112+'Tillegg- Inndata GoF'!Y112)*(1-Faktorer!$Z$58)*0.5)</f>
        <v>0</v>
      </c>
      <c r="AK114" s="90">
        <f t="shared" si="2"/>
        <v>0</v>
      </c>
      <c r="AL114" s="91">
        <f>'Tillegg- Res. detaljert GoF'!N114</f>
        <v>0</v>
      </c>
      <c r="AM114" s="91" t="str">
        <f>IF(F114=0,"",('Tillegg- Inndata GoF'!E114+'Tillegg- Inndata GoF'!F114)*ROUNDDOWN('Tillegg- Inndata GoF'!I114,0)*(1+'Tillegg- Inndata GoF'!K114))</f>
        <v/>
      </c>
    </row>
    <row r="115" spans="2:39">
      <c r="B115" s="327">
        <f>'Tillegg- Inndata GoF'!B113</f>
        <v>0</v>
      </c>
      <c r="C115" s="328">
        <f>'Tillegg- Inndata GoF'!C113</f>
        <v>0</v>
      </c>
      <c r="D115" s="329">
        <f>'Tillegg- Inndata GoF'!D113</f>
        <v>0</v>
      </c>
      <c r="E115" s="661" cm="1">
        <f t="array" ref="E115">SUM(IFERROR(F115:AF115,0))</f>
        <v>0</v>
      </c>
      <c r="F115" s="330">
        <f>'Tillegg- Inndata GoF'!E113</f>
        <v>0</v>
      </c>
      <c r="G115" s="330">
        <f>IF('Tillegg- Inndata GoF'!AB113="Ja", -0.8*'Tillegg- Res. detaljert GoF'!$F115, 0)</f>
        <v>0</v>
      </c>
      <c r="H115" s="330">
        <f>IF('Tillegg- Inndata GoF'!AC113="Ja", -0.4*'Tillegg- Res. detaljert GoF'!$F115, 0)</f>
        <v>0</v>
      </c>
      <c r="I115" s="330">
        <f>IF('Tillegg- Inndata GoF'!AD113="Ja", -1*'Tillegg- Res. detaljert GoF'!$F115, 0)</f>
        <v>0</v>
      </c>
      <c r="J115" s="330">
        <f>'Tillegg- Inndata GoF'!O113*'Tillegg- Inndata GoF'!P113</f>
        <v>0</v>
      </c>
      <c r="K115" s="330">
        <f>MAX(-0.75*(SUM('Tillegg- Res. detaljert GoF'!F115:J115)),-'Tillegg- Inndata GoF'!O113*'Tillegg- Inndata GoF'!Q113)</f>
        <v>0</v>
      </c>
      <c r="L115" s="330">
        <f>'Tillegg- Inndata GoF'!S113*'Tillegg- Inndata GoF'!T113</f>
        <v>0</v>
      </c>
      <c r="M115" s="330">
        <f>MAX(-0.75*(SUM('Tillegg- Res. detaljert GoF'!F115:I115,L115)),-'Tillegg- Inndata GoF'!S113*'Tillegg- Inndata GoF'!U113)</f>
        <v>0</v>
      </c>
      <c r="N115" s="331">
        <f>'Tillegg- Inndata GoF'!F113</f>
        <v>0</v>
      </c>
      <c r="O115" s="330">
        <f>'Tillegg- Inndata GoF'!O113*'Tillegg- Inndata GoF'!R113</f>
        <v>0</v>
      </c>
      <c r="P115" s="332">
        <f>'Tillegg- Inndata GoF'!S113*'Tillegg- Inndata GoF'!V113</f>
        <v>0</v>
      </c>
      <c r="Q115" s="333">
        <f>SUM(F115:J115,L115)*'Tillegg- Inndata GoF'!K113</f>
        <v>0</v>
      </c>
      <c r="R115" s="333">
        <f>(K115+M115)*'Tillegg- Inndata GoF'!K113</f>
        <v>0</v>
      </c>
      <c r="S115" s="333">
        <f>SUM(N115:P115)*'Tillegg- Inndata GoF'!K113</f>
        <v>0</v>
      </c>
      <c r="T115" s="334">
        <f>('Tillegg- Inndata GoF'!G113+'Tillegg- Inndata GoF'!O113+'Tillegg- Inndata GoF'!S113)*'Tillegg- Inndata GoF'!K113*Transport_utslipp_til_avfallshånderting_per_kg</f>
        <v>0</v>
      </c>
      <c r="U115" s="330">
        <f>IF('Tillegg- Inndata GoF'!E113 = 0, 0, 1.833*'Tillegg- Inndata GoF'!X113*'Tillegg- Inndata GoF'!K113*('Tillegg- Inndata GoF'!G113*('Tillegg- Inndata GoF'!L113*0.5+'Tillegg- Inndata GoF'!M113*0.8) + (12/44)*('Tillegg- Inndata GoF'!O113*'Tillegg- Inndata GoF'!Q113+'Tillegg- Inndata GoF'!S113*'Tillegg- Inndata GoF'!U113)))</f>
        <v>0</v>
      </c>
      <c r="V115" s="335">
        <f>IF('Tillegg- Inndata GoF'!G113 = 0, 0,  MAX(-SUM(F115:J115,L115)*'Tillegg- Inndata GoF'!L113, -0.114*IF('Tillegg- Inndata GoF'!H113 &gt; 49, _xlfn.XLOOKUP(49, År_etter_ferdigstillelse, karbon_opptak_faktor), _xlfn.XLOOKUP('Tillegg- Inndata GoF'!H113, År_etter_ferdigstillelse, karbon_opptak_faktor))*'Tillegg- Inndata GoF'!G113*'Tillegg- Inndata GoF'!L113*0.5))</f>
        <v>0</v>
      </c>
      <c r="W115" s="333">
        <f>IF('Tillegg- Inndata GoF'!G113=0,0,IF('Tillegg- Inndata GoF'!H113&gt;49,-0.064*'Tillegg- Inndata GoF'!G113*'Tillegg- Inndata GoF'!N113,-0.037*'Tillegg- Inndata GoF'!J113*'Tillegg- Inndata GoF'!N113))</f>
        <v>0</v>
      </c>
      <c r="X115" s="331" cm="1">
        <f t="array" ref="X115">IF(SUM(F115:J115,L115)=0, 0, SUM(F115:J115,L115)*(1+'Tillegg-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Y115" s="330" cm="1">
        <f t="array" ref="Y115">IF(X115=0, 0, SUM(K115,M115)*(1+'Tillegg-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Z115" s="336" cm="1">
        <f t="array" ref="Z115">IF(X115=0, 0, SUM(N115:P115)*(1+'Tillegg-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AA115" s="336" cm="1">
        <f t="array" ref="AA115">IF(X115=0, 0, ('Tillegg- Inndata GoF'!G113+'Tillegg- Inndata GoF'!O113+'Tillegg- Inndata GoF'!S113)*(1+'Tillegg- Inndata GoF'!K113)*Transport_utslipp_til_avfallshånderting_per_kg*IF('Tillegg- Inndata GoF'!H113&gt;50, 0, _xlfn.XLOOKUP('Tillegg- Inndata GoF'!H113, År_etter_ferdigstillelse, IF(VALUE(LEFT('Tillegg- Inndata GoF'!B113, 2))= 49, f_tid_x_f_tek_d_0_037_kumulativ, f_tid_x_f_tek_d_0_01_kumulativ))))</f>
        <v>0</v>
      </c>
      <c r="AB115" s="334" cm="1">
        <f t="array" ref="AB115">IF(X115=0, 0,1.833*'Tillegg- Inndata GoF'!J113*('Tillegg- Inndata GoF'!X113*_xlfn.XLOOKUP(IF('Tillegg- Inndata GoF'!I113&lt;2,'Tillegg- Inndata GoF'!H113,'Tillegg- Inndata GoF'!H113*2), År_etter_ferdigstillelse, Faktorer!$Z$7:$Z$58))*('Tillegg- Inndata GoF'!L113*0.5+'Tillegg- Inndata GoF'!M113*0.8)*_xlfn.XLOOKUP(IF('Tillegg- Inndata GoF'!I113&lt;2,'Tillegg- Inndata GoF'!H113,'Tillegg- Inndata GoF'!H113*2), År_etter_ferdigstillelse,  IF(LEFT('Tillegg- Inndata GoF'!B113, 2)= 49, f_tid_x_f_tek_d_0_037, f_tid_x_f_tek_d_0_01)))</f>
        <v>0</v>
      </c>
      <c r="AC115" s="335">
        <f>IF(('Tillegg- Inndata GoF'!G113) = 0, 0,(('Tillegg- Inndata GoF'!G113)*((AG115+AI115)*Transport_utslipp_til_avfallshånderting_per_kg)+('Tillegg- Inndata GoF'!Z113*'ZERO-B Beregning'!D215)*IF('ZERO-B Beregning'!F216=0,'ZERO-B Beregning'!D216,'ZERO-B Beregning'!F216))*_xlfn.XLOOKUP(51, År_etter_ferdigstillelse, f_tid_x_f_tek_d_0_01))</f>
        <v>0</v>
      </c>
      <c r="AD115" s="337">
        <f>IF(('Tillegg- Inndata GoF'!G113) = 0, 0,1.833*('Tillegg- Inndata GoF'!G113*('Tillegg- Inndata GoF'!L113*0.5+'Tillegg- Inndata GoF'!M113*0.8)*AG115*_xlfn.XLOOKUP(51, År_etter_ferdigstillelse,  f_tid_x_f_tek_d_0_01)))</f>
        <v>0</v>
      </c>
      <c r="AE115" s="333" cm="1">
        <f t="array" ref="AE115">IF(('Tillegg- Inndata GoF'!G113) = 0, 0,-0.8*('Tillegg- Inndata GoF'!G113)*AH115*('Tillegg- Inndata GoF'!E113/'Tillegg- Inndata GoF'!G113)*_xlfn.XLOOKUP(51, År_etter_ferdigstillelse,  IF(LEFT('Tillegg- Inndata GoF'!B113, 2)= 49, f_tid_x_f_tek_d_0_037, f_tid_x_f_tek_d_0_01)))</f>
        <v>0</v>
      </c>
      <c r="AF115" s="338" cm="1">
        <f t="array" ref="AF115">IF(('Tillegg- Inndata GoF'!G113) = 0, 0,-0.1*('Tillegg- Inndata GoF'!G113)*AI115*('Tillegg- Inndata GoF'!E113/'Tillegg- Inndata GoF'!G113)*_xlfn.XLOOKUP(51, År_etter_ferdigstillelse,  IF(LEFT('Tillegg- Inndata GoF'!B113, 2)= 49, f_tid_x_f_tek_d_0_037, f_tid_x_f_tek_d_0_01)))</f>
        <v>0</v>
      </c>
      <c r="AG115" s="572">
        <f>IF(('Tillegg- Inndata GoF'!G113) = 0, 0,'Tillegg- Inndata GoF'!X113*Faktorer!$Z$58)</f>
        <v>0</v>
      </c>
      <c r="AH115" s="573">
        <f>IF(('Tillegg- Inndata GoF'!G113) = 0, 0,'Tillegg- Inndata GoF'!Z113+('Tillegg- Inndata GoF'!X113+'Tillegg- Inndata GoF'!Y113)*(1-Faktorer!$Z$58)*0.5)</f>
        <v>0</v>
      </c>
      <c r="AI115" s="574">
        <f>IF(('Tillegg- Inndata GoF'!G113) = 0, 0,'Tillegg- Inndata GoF'!AA113+('Tillegg- Inndata GoF'!X113+'Tillegg- Inndata GoF'!Y113)*(1-Faktorer!$Z$58)*0.5)</f>
        <v>0</v>
      </c>
      <c r="AK115" s="90">
        <f t="shared" si="2"/>
        <v>0</v>
      </c>
      <c r="AL115" s="91">
        <f>'Tillegg- Res. detaljert GoF'!N115</f>
        <v>0</v>
      </c>
      <c r="AM115" s="91" t="str">
        <f>IF(F115=0,"",('Tillegg- Inndata GoF'!E115+'Tillegg- Inndata GoF'!F115)*ROUNDDOWN('Tillegg- Inndata GoF'!I115,0)*(1+'Tillegg- Inndata GoF'!K115))</f>
        <v/>
      </c>
    </row>
    <row r="116" spans="2:39">
      <c r="B116" s="327">
        <f>'Tillegg- Inndata GoF'!B114</f>
        <v>0</v>
      </c>
      <c r="C116" s="328">
        <f>'Tillegg- Inndata GoF'!C114</f>
        <v>0</v>
      </c>
      <c r="D116" s="329">
        <f>'Tillegg- Inndata GoF'!D114</f>
        <v>0</v>
      </c>
      <c r="E116" s="661" cm="1">
        <f t="array" ref="E116">SUM(IFERROR(F116:AF116,0))</f>
        <v>0</v>
      </c>
      <c r="F116" s="330">
        <f>'Tillegg- Inndata GoF'!E114</f>
        <v>0</v>
      </c>
      <c r="G116" s="330">
        <f>IF('Tillegg- Inndata GoF'!AB114="Ja", -0.8*'Tillegg- Res. detaljert GoF'!$F116, 0)</f>
        <v>0</v>
      </c>
      <c r="H116" s="330">
        <f>IF('Tillegg- Inndata GoF'!AC114="Ja", -0.4*'Tillegg- Res. detaljert GoF'!$F116, 0)</f>
        <v>0</v>
      </c>
      <c r="I116" s="330">
        <f>IF('Tillegg- Inndata GoF'!AD114="Ja", -1*'Tillegg- Res. detaljert GoF'!$F116, 0)</f>
        <v>0</v>
      </c>
      <c r="J116" s="330">
        <f>'Tillegg- Inndata GoF'!O114*'Tillegg- Inndata GoF'!P114</f>
        <v>0</v>
      </c>
      <c r="K116" s="330">
        <f>MAX(-0.75*(SUM('Tillegg- Res. detaljert GoF'!F116:J116)),-'Tillegg- Inndata GoF'!O114*'Tillegg- Inndata GoF'!Q114)</f>
        <v>0</v>
      </c>
      <c r="L116" s="330">
        <f>'Tillegg- Inndata GoF'!S114*'Tillegg- Inndata GoF'!T114</f>
        <v>0</v>
      </c>
      <c r="M116" s="330">
        <f>MAX(-0.75*(SUM('Tillegg- Res. detaljert GoF'!F116:I116,L116)),-'Tillegg- Inndata GoF'!S114*'Tillegg- Inndata GoF'!U114)</f>
        <v>0</v>
      </c>
      <c r="N116" s="331">
        <f>'Tillegg- Inndata GoF'!F114</f>
        <v>0</v>
      </c>
      <c r="O116" s="330">
        <f>'Tillegg- Inndata GoF'!O114*'Tillegg- Inndata GoF'!R114</f>
        <v>0</v>
      </c>
      <c r="P116" s="332">
        <f>'Tillegg- Inndata GoF'!S114*'Tillegg- Inndata GoF'!V114</f>
        <v>0</v>
      </c>
      <c r="Q116" s="333">
        <f>SUM(F116:J116,L116)*'Tillegg- Inndata GoF'!K114</f>
        <v>0</v>
      </c>
      <c r="R116" s="333">
        <f>(K116+M116)*'Tillegg- Inndata GoF'!K114</f>
        <v>0</v>
      </c>
      <c r="S116" s="333">
        <f>SUM(N116:P116)*'Tillegg- Inndata GoF'!K114</f>
        <v>0</v>
      </c>
      <c r="T116" s="334">
        <f>('Tillegg- Inndata GoF'!G114+'Tillegg- Inndata GoF'!O114+'Tillegg- Inndata GoF'!S114)*'Tillegg- Inndata GoF'!K114*Transport_utslipp_til_avfallshånderting_per_kg</f>
        <v>0</v>
      </c>
      <c r="U116" s="330">
        <f>IF('Tillegg- Inndata GoF'!E114 = 0, 0, 1.833*'Tillegg- Inndata GoF'!X114*'Tillegg- Inndata GoF'!K114*('Tillegg- Inndata GoF'!G114*('Tillegg- Inndata GoF'!L114*0.5+'Tillegg- Inndata GoF'!M114*0.8) + (12/44)*('Tillegg- Inndata GoF'!O114*'Tillegg- Inndata GoF'!Q114+'Tillegg- Inndata GoF'!S114*'Tillegg- Inndata GoF'!U114)))</f>
        <v>0</v>
      </c>
      <c r="V116" s="335">
        <f>IF('Tillegg- Inndata GoF'!G114 = 0, 0,  MAX(-SUM(F116:J116,L116)*'Tillegg- Inndata GoF'!L114, -0.114*IF('Tillegg- Inndata GoF'!H114 &gt; 49, _xlfn.XLOOKUP(49, År_etter_ferdigstillelse, karbon_opptak_faktor), _xlfn.XLOOKUP('Tillegg- Inndata GoF'!H114, År_etter_ferdigstillelse, karbon_opptak_faktor))*'Tillegg- Inndata GoF'!G114*'Tillegg- Inndata GoF'!L114*0.5))</f>
        <v>0</v>
      </c>
      <c r="W116" s="333">
        <f>IF('Tillegg- Inndata GoF'!G114=0,0,IF('Tillegg- Inndata GoF'!H114&gt;49,-0.064*'Tillegg- Inndata GoF'!G114*'Tillegg- Inndata GoF'!N114,-0.037*'Tillegg- Inndata GoF'!J114*'Tillegg- Inndata GoF'!N114))</f>
        <v>0</v>
      </c>
      <c r="X116" s="331" cm="1">
        <f t="array" ref="X116">IF(SUM(F116:J116,L116)=0, 0, SUM(F116:J116,L116)*(1+'Tillegg-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Y116" s="330" cm="1">
        <f t="array" ref="Y116">IF(X116=0, 0, SUM(K116,M116)*(1+'Tillegg-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Z116" s="336" cm="1">
        <f t="array" ref="Z116">IF(X116=0, 0, SUM(N116:P116)*(1+'Tillegg-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AA116" s="336" cm="1">
        <f t="array" ref="AA116">IF(X116=0, 0, ('Tillegg- Inndata GoF'!G114+'Tillegg- Inndata GoF'!O114+'Tillegg- Inndata GoF'!S114)*(1+'Tillegg- Inndata GoF'!K114)*Transport_utslipp_til_avfallshånderting_per_kg*IF('Tillegg- Inndata GoF'!H114&gt;50, 0, _xlfn.XLOOKUP('Tillegg- Inndata GoF'!H114, År_etter_ferdigstillelse, IF(VALUE(LEFT('Tillegg- Inndata GoF'!B114, 2))= 49, f_tid_x_f_tek_d_0_037_kumulativ, f_tid_x_f_tek_d_0_01_kumulativ))))</f>
        <v>0</v>
      </c>
      <c r="AB116" s="334" cm="1">
        <f t="array" ref="AB116">IF(X116=0, 0,1.833*'Tillegg- Inndata GoF'!J114*('Tillegg- Inndata GoF'!X114*_xlfn.XLOOKUP(IF('Tillegg- Inndata GoF'!I114&lt;2,'Tillegg- Inndata GoF'!H114,'Tillegg- Inndata GoF'!H114*2), År_etter_ferdigstillelse, Faktorer!$Z$7:$Z$58))*('Tillegg- Inndata GoF'!L114*0.5+'Tillegg- Inndata GoF'!M114*0.8)*_xlfn.XLOOKUP(IF('Tillegg- Inndata GoF'!I114&lt;2,'Tillegg- Inndata GoF'!H114,'Tillegg- Inndata GoF'!H114*2), År_etter_ferdigstillelse,  IF(LEFT('Tillegg- Inndata GoF'!B114, 2)= 49, f_tid_x_f_tek_d_0_037, f_tid_x_f_tek_d_0_01)))</f>
        <v>0</v>
      </c>
      <c r="AC116" s="335">
        <f>IF(('Tillegg- Inndata GoF'!G114) = 0, 0,(('Tillegg- Inndata GoF'!G114)*((AG116+AI116)*Transport_utslipp_til_avfallshånderting_per_kg)+('Tillegg- Inndata GoF'!Z114*'ZERO-B Beregning'!D216)*IF('ZERO-B Beregning'!F217=0,'ZERO-B Beregning'!D217,'ZERO-B Beregning'!F217))*_xlfn.XLOOKUP(51, År_etter_ferdigstillelse, f_tid_x_f_tek_d_0_01))</f>
        <v>0</v>
      </c>
      <c r="AD116" s="337">
        <f>IF(('Tillegg- Inndata GoF'!G114) = 0, 0,1.833*('Tillegg- Inndata GoF'!G114*('Tillegg- Inndata GoF'!L114*0.5+'Tillegg- Inndata GoF'!M114*0.8)*AG116*_xlfn.XLOOKUP(51, År_etter_ferdigstillelse,  f_tid_x_f_tek_d_0_01)))</f>
        <v>0</v>
      </c>
      <c r="AE116" s="333" cm="1">
        <f t="array" ref="AE116">IF(('Tillegg- Inndata GoF'!G114) = 0, 0,-0.8*('Tillegg- Inndata GoF'!G114)*AH116*('Tillegg- Inndata GoF'!E114/'Tillegg- Inndata GoF'!G114)*_xlfn.XLOOKUP(51, År_etter_ferdigstillelse,  IF(LEFT('Tillegg- Inndata GoF'!B114, 2)= 49, f_tid_x_f_tek_d_0_037, f_tid_x_f_tek_d_0_01)))</f>
        <v>0</v>
      </c>
      <c r="AF116" s="338" cm="1">
        <f t="array" ref="AF116">IF(('Tillegg- Inndata GoF'!G114) = 0, 0,-0.1*('Tillegg- Inndata GoF'!G114)*AI116*('Tillegg- Inndata GoF'!E114/'Tillegg- Inndata GoF'!G114)*_xlfn.XLOOKUP(51, År_etter_ferdigstillelse,  IF(LEFT('Tillegg- Inndata GoF'!B114, 2)= 49, f_tid_x_f_tek_d_0_037, f_tid_x_f_tek_d_0_01)))</f>
        <v>0</v>
      </c>
      <c r="AG116" s="572">
        <f>IF(('Tillegg- Inndata GoF'!G114) = 0, 0,'Tillegg- Inndata GoF'!X114*Faktorer!$Z$58)</f>
        <v>0</v>
      </c>
      <c r="AH116" s="573">
        <f>IF(('Tillegg- Inndata GoF'!G114) = 0, 0,'Tillegg- Inndata GoF'!Z114+('Tillegg- Inndata GoF'!X114+'Tillegg- Inndata GoF'!Y114)*(1-Faktorer!$Z$58)*0.5)</f>
        <v>0</v>
      </c>
      <c r="AI116" s="574">
        <f>IF(('Tillegg- Inndata GoF'!G114) = 0, 0,'Tillegg- Inndata GoF'!AA114+('Tillegg- Inndata GoF'!X114+'Tillegg- Inndata GoF'!Y114)*(1-Faktorer!$Z$58)*0.5)</f>
        <v>0</v>
      </c>
      <c r="AK116" s="90">
        <f t="shared" si="2"/>
        <v>0</v>
      </c>
      <c r="AL116" s="91">
        <f>'Tillegg- Res. detaljert GoF'!N116</f>
        <v>0</v>
      </c>
      <c r="AM116" s="91" t="str">
        <f>IF(F116=0,"",('Tillegg- Inndata GoF'!E116+'Tillegg- Inndata GoF'!F116)*ROUNDDOWN('Tillegg- Inndata GoF'!I116,0)*(1+'Tillegg- Inndata GoF'!K116))</f>
        <v/>
      </c>
    </row>
    <row r="117" spans="2:39">
      <c r="B117" s="327">
        <f>'Tillegg- Inndata GoF'!B115</f>
        <v>0</v>
      </c>
      <c r="C117" s="328">
        <f>'Tillegg- Inndata GoF'!C115</f>
        <v>0</v>
      </c>
      <c r="D117" s="329">
        <f>'Tillegg- Inndata GoF'!D115</f>
        <v>0</v>
      </c>
      <c r="E117" s="661" cm="1">
        <f t="array" ref="E117">SUM(IFERROR(F117:AF117,0))</f>
        <v>0</v>
      </c>
      <c r="F117" s="330">
        <f>'Tillegg- Inndata GoF'!E115</f>
        <v>0</v>
      </c>
      <c r="G117" s="330">
        <f>IF('Tillegg- Inndata GoF'!AB115="Ja", -0.8*'Tillegg- Res. detaljert GoF'!$F117, 0)</f>
        <v>0</v>
      </c>
      <c r="H117" s="330">
        <f>IF('Tillegg- Inndata GoF'!AC115="Ja", -0.4*'Tillegg- Res. detaljert GoF'!$F117, 0)</f>
        <v>0</v>
      </c>
      <c r="I117" s="330">
        <f>IF('Tillegg- Inndata GoF'!AD115="Ja", -1*'Tillegg- Res. detaljert GoF'!$F117, 0)</f>
        <v>0</v>
      </c>
      <c r="J117" s="330">
        <f>'Tillegg- Inndata GoF'!O115*'Tillegg- Inndata GoF'!P115</f>
        <v>0</v>
      </c>
      <c r="K117" s="330">
        <f>MAX(-0.75*(SUM('Tillegg- Res. detaljert GoF'!F117:J117)),-'Tillegg- Inndata GoF'!O115*'Tillegg- Inndata GoF'!Q115)</f>
        <v>0</v>
      </c>
      <c r="L117" s="330">
        <f>'Tillegg- Inndata GoF'!S115*'Tillegg- Inndata GoF'!T115</f>
        <v>0</v>
      </c>
      <c r="M117" s="330">
        <f>MAX(-0.75*(SUM('Tillegg- Res. detaljert GoF'!F117:I117,L117)),-'Tillegg- Inndata GoF'!S115*'Tillegg- Inndata GoF'!U115)</f>
        <v>0</v>
      </c>
      <c r="N117" s="331">
        <f>'Tillegg- Inndata GoF'!F115</f>
        <v>0</v>
      </c>
      <c r="O117" s="330">
        <f>'Tillegg- Inndata GoF'!O115*'Tillegg- Inndata GoF'!R115</f>
        <v>0</v>
      </c>
      <c r="P117" s="332">
        <f>'Tillegg- Inndata GoF'!S115*'Tillegg- Inndata GoF'!V115</f>
        <v>0</v>
      </c>
      <c r="Q117" s="333">
        <f>SUM(F117:J117,L117)*'Tillegg- Inndata GoF'!K115</f>
        <v>0</v>
      </c>
      <c r="R117" s="333">
        <f>(K117+M117)*'Tillegg- Inndata GoF'!K115</f>
        <v>0</v>
      </c>
      <c r="S117" s="333">
        <f>SUM(N117:P117)*'Tillegg- Inndata GoF'!K115</f>
        <v>0</v>
      </c>
      <c r="T117" s="334">
        <f>('Tillegg- Inndata GoF'!G115+'Tillegg- Inndata GoF'!O115+'Tillegg- Inndata GoF'!S115)*'Tillegg- Inndata GoF'!K115*Transport_utslipp_til_avfallshånderting_per_kg</f>
        <v>0</v>
      </c>
      <c r="U117" s="330">
        <f>IF('Tillegg- Inndata GoF'!E115 = 0, 0, 1.833*'Tillegg- Inndata GoF'!X115*'Tillegg- Inndata GoF'!K115*('Tillegg- Inndata GoF'!G115*('Tillegg- Inndata GoF'!L115*0.5+'Tillegg- Inndata GoF'!M115*0.8) + (12/44)*('Tillegg- Inndata GoF'!O115*'Tillegg- Inndata GoF'!Q115+'Tillegg- Inndata GoF'!S115*'Tillegg- Inndata GoF'!U115)))</f>
        <v>0</v>
      </c>
      <c r="V117" s="335">
        <f>IF('Tillegg- Inndata GoF'!G115 = 0, 0,  MAX(-SUM(F117:J117,L117)*'Tillegg- Inndata GoF'!L115, -0.114*IF('Tillegg- Inndata GoF'!H115 &gt; 49, _xlfn.XLOOKUP(49, År_etter_ferdigstillelse, karbon_opptak_faktor), _xlfn.XLOOKUP('Tillegg- Inndata GoF'!H115, År_etter_ferdigstillelse, karbon_opptak_faktor))*'Tillegg- Inndata GoF'!G115*'Tillegg- Inndata GoF'!L115*0.5))</f>
        <v>0</v>
      </c>
      <c r="W117" s="333">
        <f>IF('Tillegg- Inndata GoF'!G115=0,0,IF('Tillegg- Inndata GoF'!H115&gt;49,-0.064*'Tillegg- Inndata GoF'!G115*'Tillegg- Inndata GoF'!N115,-0.037*'Tillegg- Inndata GoF'!J115*'Tillegg- Inndata GoF'!N115))</f>
        <v>0</v>
      </c>
      <c r="X117" s="331" cm="1">
        <f t="array" ref="X117">IF(SUM(F117:J117,L117)=0, 0, SUM(F117:J117,L117)*(1+'Tillegg-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Y117" s="330" cm="1">
        <f t="array" ref="Y117">IF(X117=0, 0, SUM(K117,M117)*(1+'Tillegg-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Z117" s="336" cm="1">
        <f t="array" ref="Z117">IF(X117=0, 0, SUM(N117:P117)*(1+'Tillegg-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AA117" s="336" cm="1">
        <f t="array" ref="AA117">IF(X117=0, 0, ('Tillegg- Inndata GoF'!G115+'Tillegg- Inndata GoF'!O115+'Tillegg- Inndata GoF'!S115)*(1+'Tillegg- Inndata GoF'!K115)*Transport_utslipp_til_avfallshånderting_per_kg*IF('Tillegg- Inndata GoF'!H115&gt;50, 0, _xlfn.XLOOKUP('Tillegg- Inndata GoF'!H115, År_etter_ferdigstillelse, IF(VALUE(LEFT('Tillegg- Inndata GoF'!B115, 2))= 49, f_tid_x_f_tek_d_0_037_kumulativ, f_tid_x_f_tek_d_0_01_kumulativ))))</f>
        <v>0</v>
      </c>
      <c r="AB117" s="334" cm="1">
        <f t="array" ref="AB117">IF(X117=0, 0,1.833*'Tillegg- Inndata GoF'!J115*('Tillegg- Inndata GoF'!X115*_xlfn.XLOOKUP(IF('Tillegg- Inndata GoF'!I115&lt;2,'Tillegg- Inndata GoF'!H115,'Tillegg- Inndata GoF'!H115*2), År_etter_ferdigstillelse, Faktorer!$Z$7:$Z$58))*('Tillegg- Inndata GoF'!L115*0.5+'Tillegg- Inndata GoF'!M115*0.8)*_xlfn.XLOOKUP(IF('Tillegg- Inndata GoF'!I115&lt;2,'Tillegg- Inndata GoF'!H115,'Tillegg- Inndata GoF'!H115*2), År_etter_ferdigstillelse,  IF(LEFT('Tillegg- Inndata GoF'!B115, 2)= 49, f_tid_x_f_tek_d_0_037, f_tid_x_f_tek_d_0_01)))</f>
        <v>0</v>
      </c>
      <c r="AC117" s="335">
        <f>IF(('Tillegg- Inndata GoF'!G115) = 0, 0,(('Tillegg- Inndata GoF'!G115)*((AG117+AI117)*Transport_utslipp_til_avfallshånderting_per_kg)+('Tillegg- Inndata GoF'!Z115*'ZERO-B Beregning'!D217)*IF('ZERO-B Beregning'!F218=0,'ZERO-B Beregning'!D218,'ZERO-B Beregning'!F218))*_xlfn.XLOOKUP(51, År_etter_ferdigstillelse, f_tid_x_f_tek_d_0_01))</f>
        <v>0</v>
      </c>
      <c r="AD117" s="337">
        <f>IF(('Tillegg- Inndata GoF'!G115) = 0, 0,1.833*('Tillegg- Inndata GoF'!G115*('Tillegg- Inndata GoF'!L115*0.5+'Tillegg- Inndata GoF'!M115*0.8)*AG117*_xlfn.XLOOKUP(51, År_etter_ferdigstillelse,  f_tid_x_f_tek_d_0_01)))</f>
        <v>0</v>
      </c>
      <c r="AE117" s="333" cm="1">
        <f t="array" ref="AE117">IF(('Tillegg- Inndata GoF'!G115) = 0, 0,-0.8*('Tillegg- Inndata GoF'!G115)*AH117*('Tillegg- Inndata GoF'!E115/'Tillegg- Inndata GoF'!G115)*_xlfn.XLOOKUP(51, År_etter_ferdigstillelse,  IF(LEFT('Tillegg- Inndata GoF'!B115, 2)= 49, f_tid_x_f_tek_d_0_037, f_tid_x_f_tek_d_0_01)))</f>
        <v>0</v>
      </c>
      <c r="AF117" s="338" cm="1">
        <f t="array" ref="AF117">IF(('Tillegg- Inndata GoF'!G115) = 0, 0,-0.1*('Tillegg- Inndata GoF'!G115)*AI117*('Tillegg- Inndata GoF'!E115/'Tillegg- Inndata GoF'!G115)*_xlfn.XLOOKUP(51, År_etter_ferdigstillelse,  IF(LEFT('Tillegg- Inndata GoF'!B115, 2)= 49, f_tid_x_f_tek_d_0_037, f_tid_x_f_tek_d_0_01)))</f>
        <v>0</v>
      </c>
      <c r="AG117" s="572">
        <f>IF(('Tillegg- Inndata GoF'!G115) = 0, 0,'Tillegg- Inndata GoF'!X115*Faktorer!$Z$58)</f>
        <v>0</v>
      </c>
      <c r="AH117" s="573">
        <f>IF(('Tillegg- Inndata GoF'!G115) = 0, 0,'Tillegg- Inndata GoF'!Z115+('Tillegg- Inndata GoF'!X115+'Tillegg- Inndata GoF'!Y115)*(1-Faktorer!$Z$58)*0.5)</f>
        <v>0</v>
      </c>
      <c r="AI117" s="574">
        <f>IF(('Tillegg- Inndata GoF'!G115) = 0, 0,'Tillegg- Inndata GoF'!AA115+('Tillegg- Inndata GoF'!X115+'Tillegg- Inndata GoF'!Y115)*(1-Faktorer!$Z$58)*0.5)</f>
        <v>0</v>
      </c>
      <c r="AK117" s="90">
        <f t="shared" si="2"/>
        <v>0</v>
      </c>
      <c r="AL117" s="91">
        <f>'Tillegg- Res. detaljert GoF'!N117</f>
        <v>0</v>
      </c>
      <c r="AM117" s="91" t="str">
        <f>IF(F117=0,"",('Tillegg- Inndata GoF'!E117+'Tillegg- Inndata GoF'!F117)*ROUNDDOWN('Tillegg- Inndata GoF'!I117,0)*(1+'Tillegg- Inndata GoF'!K117))</f>
        <v/>
      </c>
    </row>
    <row r="118" spans="2:39">
      <c r="B118" s="327">
        <f>'Tillegg- Inndata GoF'!B116</f>
        <v>0</v>
      </c>
      <c r="C118" s="328">
        <f>'Tillegg- Inndata GoF'!C116</f>
        <v>0</v>
      </c>
      <c r="D118" s="329">
        <f>'Tillegg- Inndata GoF'!D116</f>
        <v>0</v>
      </c>
      <c r="E118" s="661" cm="1">
        <f t="array" ref="E118">SUM(IFERROR(F118:AF118,0))</f>
        <v>0</v>
      </c>
      <c r="F118" s="330">
        <f>'Tillegg- Inndata GoF'!E116</f>
        <v>0</v>
      </c>
      <c r="G118" s="330">
        <f>IF('Tillegg- Inndata GoF'!AB116="Ja", -0.8*'Tillegg- Res. detaljert GoF'!$F118, 0)</f>
        <v>0</v>
      </c>
      <c r="H118" s="330">
        <f>IF('Tillegg- Inndata GoF'!AC116="Ja", -0.4*'Tillegg- Res. detaljert GoF'!$F118, 0)</f>
        <v>0</v>
      </c>
      <c r="I118" s="330">
        <f>IF('Tillegg- Inndata GoF'!AD116="Ja", -1*'Tillegg- Res. detaljert GoF'!$F118, 0)</f>
        <v>0</v>
      </c>
      <c r="J118" s="330">
        <f>'Tillegg- Inndata GoF'!O116*'Tillegg- Inndata GoF'!P116</f>
        <v>0</v>
      </c>
      <c r="K118" s="330">
        <f>MAX(-0.75*(SUM('Tillegg- Res. detaljert GoF'!F118:J118)),-'Tillegg- Inndata GoF'!O116*'Tillegg- Inndata GoF'!Q116)</f>
        <v>0</v>
      </c>
      <c r="L118" s="330">
        <f>'Tillegg- Inndata GoF'!S116*'Tillegg- Inndata GoF'!T116</f>
        <v>0</v>
      </c>
      <c r="M118" s="330">
        <f>MAX(-0.75*(SUM('Tillegg- Res. detaljert GoF'!F118:I118,L118)),-'Tillegg- Inndata GoF'!S116*'Tillegg- Inndata GoF'!U116)</f>
        <v>0</v>
      </c>
      <c r="N118" s="331">
        <f>'Tillegg- Inndata GoF'!F116</f>
        <v>0</v>
      </c>
      <c r="O118" s="330">
        <f>'Tillegg- Inndata GoF'!O116*'Tillegg- Inndata GoF'!R116</f>
        <v>0</v>
      </c>
      <c r="P118" s="332">
        <f>'Tillegg- Inndata GoF'!S116*'Tillegg- Inndata GoF'!V116</f>
        <v>0</v>
      </c>
      <c r="Q118" s="333">
        <f>SUM(F118:J118,L118)*'Tillegg- Inndata GoF'!K116</f>
        <v>0</v>
      </c>
      <c r="R118" s="333">
        <f>(K118+M118)*'Tillegg- Inndata GoF'!K116</f>
        <v>0</v>
      </c>
      <c r="S118" s="333">
        <f>SUM(N118:P118)*'Tillegg- Inndata GoF'!K116</f>
        <v>0</v>
      </c>
      <c r="T118" s="334">
        <f>('Tillegg- Inndata GoF'!G116+'Tillegg- Inndata GoF'!O116+'Tillegg- Inndata GoF'!S116)*'Tillegg- Inndata GoF'!K116*Transport_utslipp_til_avfallshånderting_per_kg</f>
        <v>0</v>
      </c>
      <c r="U118" s="330">
        <f>IF('Tillegg- Inndata GoF'!E116 = 0, 0, 1.833*'Tillegg- Inndata GoF'!X116*'Tillegg- Inndata GoF'!K116*('Tillegg- Inndata GoF'!G116*('Tillegg- Inndata GoF'!L116*0.5+'Tillegg- Inndata GoF'!M116*0.8) + (12/44)*('Tillegg- Inndata GoF'!O116*'Tillegg- Inndata GoF'!Q116+'Tillegg- Inndata GoF'!S116*'Tillegg- Inndata GoF'!U116)))</f>
        <v>0</v>
      </c>
      <c r="V118" s="335">
        <f>IF('Tillegg- Inndata GoF'!G116 = 0, 0,  MAX(-SUM(F118:J118,L118)*'Tillegg- Inndata GoF'!L116, -0.114*IF('Tillegg- Inndata GoF'!H116 &gt; 49, _xlfn.XLOOKUP(49, År_etter_ferdigstillelse, karbon_opptak_faktor), _xlfn.XLOOKUP('Tillegg- Inndata GoF'!H116, År_etter_ferdigstillelse, karbon_opptak_faktor))*'Tillegg- Inndata GoF'!G116*'Tillegg- Inndata GoF'!L116*0.5))</f>
        <v>0</v>
      </c>
      <c r="W118" s="333">
        <f>IF('Tillegg- Inndata GoF'!G116=0,0,IF('Tillegg- Inndata GoF'!H116&gt;49,-0.064*'Tillegg- Inndata GoF'!G116*'Tillegg- Inndata GoF'!N116,-0.037*'Tillegg- Inndata GoF'!J116*'Tillegg- Inndata GoF'!N116))</f>
        <v>0</v>
      </c>
      <c r="X118" s="331" cm="1">
        <f t="array" ref="X118">IF(SUM(F118:J118,L118)=0, 0, SUM(F118:J118,L118)*(1+'Tillegg-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Y118" s="330" cm="1">
        <f t="array" ref="Y118">IF(X118=0, 0, SUM(K118,M118)*(1+'Tillegg-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Z118" s="336" cm="1">
        <f t="array" ref="Z118">IF(X118=0, 0, SUM(N118:P118)*(1+'Tillegg-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AA118" s="336" cm="1">
        <f t="array" ref="AA118">IF(X118=0, 0, ('Tillegg- Inndata GoF'!G116+'Tillegg- Inndata GoF'!O116+'Tillegg- Inndata GoF'!S116)*(1+'Tillegg- Inndata GoF'!K116)*Transport_utslipp_til_avfallshånderting_per_kg*IF('Tillegg- Inndata GoF'!H116&gt;50, 0, _xlfn.XLOOKUP('Tillegg- Inndata GoF'!H116, År_etter_ferdigstillelse, IF(VALUE(LEFT('Tillegg- Inndata GoF'!B116, 2))= 49, f_tid_x_f_tek_d_0_037_kumulativ, f_tid_x_f_tek_d_0_01_kumulativ))))</f>
        <v>0</v>
      </c>
      <c r="AB118" s="334" cm="1">
        <f t="array" ref="AB118">IF(X118=0, 0,1.833*'Tillegg- Inndata GoF'!J116*('Tillegg- Inndata GoF'!X116*_xlfn.XLOOKUP(IF('Tillegg- Inndata GoF'!I116&lt;2,'Tillegg- Inndata GoF'!H116,'Tillegg- Inndata GoF'!H116*2), År_etter_ferdigstillelse, Faktorer!$Z$7:$Z$58))*('Tillegg- Inndata GoF'!L116*0.5+'Tillegg- Inndata GoF'!M116*0.8)*_xlfn.XLOOKUP(IF('Tillegg- Inndata GoF'!I116&lt;2,'Tillegg- Inndata GoF'!H116,'Tillegg- Inndata GoF'!H116*2), År_etter_ferdigstillelse,  IF(LEFT('Tillegg- Inndata GoF'!B116, 2)= 49, f_tid_x_f_tek_d_0_037, f_tid_x_f_tek_d_0_01)))</f>
        <v>0</v>
      </c>
      <c r="AC118" s="335">
        <f>IF(('Tillegg- Inndata GoF'!G116) = 0, 0,(('Tillegg- Inndata GoF'!G116)*((AG118+AI118)*Transport_utslipp_til_avfallshånderting_per_kg)+('Tillegg- Inndata GoF'!Z116*'ZERO-B Beregning'!D218)*IF('ZERO-B Beregning'!F219=0,'ZERO-B Beregning'!D219,'ZERO-B Beregning'!F219))*_xlfn.XLOOKUP(51, År_etter_ferdigstillelse, f_tid_x_f_tek_d_0_01))</f>
        <v>0</v>
      </c>
      <c r="AD118" s="337">
        <f>IF(('Tillegg- Inndata GoF'!G116) = 0, 0,1.833*('Tillegg- Inndata GoF'!G116*('Tillegg- Inndata GoF'!L116*0.5+'Tillegg- Inndata GoF'!M116*0.8)*AG118*_xlfn.XLOOKUP(51, År_etter_ferdigstillelse,  f_tid_x_f_tek_d_0_01)))</f>
        <v>0</v>
      </c>
      <c r="AE118" s="333" cm="1">
        <f t="array" ref="AE118">IF(('Tillegg- Inndata GoF'!G116) = 0, 0,-0.8*('Tillegg- Inndata GoF'!G116)*AH118*('Tillegg- Inndata GoF'!E116/'Tillegg- Inndata GoF'!G116)*_xlfn.XLOOKUP(51, År_etter_ferdigstillelse,  IF(LEFT('Tillegg- Inndata GoF'!B116, 2)= 49, f_tid_x_f_tek_d_0_037, f_tid_x_f_tek_d_0_01)))</f>
        <v>0</v>
      </c>
      <c r="AF118" s="338" cm="1">
        <f t="array" ref="AF118">IF(('Tillegg- Inndata GoF'!G116) = 0, 0,-0.1*('Tillegg- Inndata GoF'!G116)*AI118*('Tillegg- Inndata GoF'!E116/'Tillegg- Inndata GoF'!G116)*_xlfn.XLOOKUP(51, År_etter_ferdigstillelse,  IF(LEFT('Tillegg- Inndata GoF'!B116, 2)= 49, f_tid_x_f_tek_d_0_037, f_tid_x_f_tek_d_0_01)))</f>
        <v>0</v>
      </c>
      <c r="AG118" s="572">
        <f>IF(('Tillegg- Inndata GoF'!G116) = 0, 0,'Tillegg- Inndata GoF'!X116*Faktorer!$Z$58)</f>
        <v>0</v>
      </c>
      <c r="AH118" s="573">
        <f>IF(('Tillegg- Inndata GoF'!G116) = 0, 0,'Tillegg- Inndata GoF'!Z116+('Tillegg- Inndata GoF'!X116+'Tillegg- Inndata GoF'!Y116)*(1-Faktorer!$Z$58)*0.5)</f>
        <v>0</v>
      </c>
      <c r="AI118" s="574">
        <f>IF(('Tillegg- Inndata GoF'!G116) = 0, 0,'Tillegg- Inndata GoF'!AA116+('Tillegg- Inndata GoF'!X116+'Tillegg- Inndata GoF'!Y116)*(1-Faktorer!$Z$58)*0.5)</f>
        <v>0</v>
      </c>
      <c r="AK118" s="90">
        <f t="shared" si="2"/>
        <v>0</v>
      </c>
      <c r="AL118" s="91">
        <f>'Tillegg- Res. detaljert GoF'!N118</f>
        <v>0</v>
      </c>
      <c r="AM118" s="91" t="str">
        <f>IF(F118=0,"",('Tillegg- Inndata GoF'!E118+'Tillegg- Inndata GoF'!F118)*ROUNDDOWN('Tillegg- Inndata GoF'!I118,0)*(1+'Tillegg- Inndata GoF'!K118))</f>
        <v/>
      </c>
    </row>
    <row r="119" spans="2:39">
      <c r="B119" s="327">
        <f>'Tillegg- Inndata GoF'!B117</f>
        <v>0</v>
      </c>
      <c r="C119" s="328">
        <f>'Tillegg- Inndata GoF'!C117</f>
        <v>0</v>
      </c>
      <c r="D119" s="329">
        <f>'Tillegg- Inndata GoF'!D117</f>
        <v>0</v>
      </c>
      <c r="E119" s="661" cm="1">
        <f t="array" ref="E119">SUM(IFERROR(F119:AF119,0))</f>
        <v>0</v>
      </c>
      <c r="F119" s="330">
        <f>'Tillegg- Inndata GoF'!E117</f>
        <v>0</v>
      </c>
      <c r="G119" s="330">
        <f>IF('Tillegg- Inndata GoF'!AB117="Ja", -0.8*'Tillegg- Res. detaljert GoF'!$F119, 0)</f>
        <v>0</v>
      </c>
      <c r="H119" s="330">
        <f>IF('Tillegg- Inndata GoF'!AC117="Ja", -0.4*'Tillegg- Res. detaljert GoF'!$F119, 0)</f>
        <v>0</v>
      </c>
      <c r="I119" s="330">
        <f>IF('Tillegg- Inndata GoF'!AD117="Ja", -1*'Tillegg- Res. detaljert GoF'!$F119, 0)</f>
        <v>0</v>
      </c>
      <c r="J119" s="330">
        <f>'Tillegg- Inndata GoF'!O117*'Tillegg- Inndata GoF'!P117</f>
        <v>0</v>
      </c>
      <c r="K119" s="330">
        <f>MAX(-0.75*(SUM('Tillegg- Res. detaljert GoF'!F119:J119)),-'Tillegg- Inndata GoF'!O117*'Tillegg- Inndata GoF'!Q117)</f>
        <v>0</v>
      </c>
      <c r="L119" s="330">
        <f>'Tillegg- Inndata GoF'!S117*'Tillegg- Inndata GoF'!T117</f>
        <v>0</v>
      </c>
      <c r="M119" s="330">
        <f>MAX(-0.75*(SUM('Tillegg- Res. detaljert GoF'!F119:I119,L119)),-'Tillegg- Inndata GoF'!S117*'Tillegg- Inndata GoF'!U117)</f>
        <v>0</v>
      </c>
      <c r="N119" s="331">
        <f>'Tillegg- Inndata GoF'!F117</f>
        <v>0</v>
      </c>
      <c r="O119" s="330">
        <f>'Tillegg- Inndata GoF'!O117*'Tillegg- Inndata GoF'!R117</f>
        <v>0</v>
      </c>
      <c r="P119" s="332">
        <f>'Tillegg- Inndata GoF'!S117*'Tillegg- Inndata GoF'!V117</f>
        <v>0</v>
      </c>
      <c r="Q119" s="333">
        <f>SUM(F119:J119,L119)*'Tillegg- Inndata GoF'!K117</f>
        <v>0</v>
      </c>
      <c r="R119" s="333">
        <f>(K119+M119)*'Tillegg- Inndata GoF'!K117</f>
        <v>0</v>
      </c>
      <c r="S119" s="333">
        <f>SUM(N119:P119)*'Tillegg- Inndata GoF'!K117</f>
        <v>0</v>
      </c>
      <c r="T119" s="334">
        <f>('Tillegg- Inndata GoF'!G117+'Tillegg- Inndata GoF'!O117+'Tillegg- Inndata GoF'!S117)*'Tillegg- Inndata GoF'!K117*Transport_utslipp_til_avfallshånderting_per_kg</f>
        <v>0</v>
      </c>
      <c r="U119" s="330">
        <f>IF('Tillegg- Inndata GoF'!E117 = 0, 0, 1.833*'Tillegg- Inndata GoF'!X117*'Tillegg- Inndata GoF'!K117*('Tillegg- Inndata GoF'!G117*('Tillegg- Inndata GoF'!L117*0.5+'Tillegg- Inndata GoF'!M117*0.8) + (12/44)*('Tillegg- Inndata GoF'!O117*'Tillegg- Inndata GoF'!Q117+'Tillegg- Inndata GoF'!S117*'Tillegg- Inndata GoF'!U117)))</f>
        <v>0</v>
      </c>
      <c r="V119" s="335">
        <f>IF('Tillegg- Inndata GoF'!G117 = 0, 0,  MAX(-SUM(F119:J119,L119)*'Tillegg- Inndata GoF'!L117, -0.114*IF('Tillegg- Inndata GoF'!H117 &gt; 49, _xlfn.XLOOKUP(49, År_etter_ferdigstillelse, karbon_opptak_faktor), _xlfn.XLOOKUP('Tillegg- Inndata GoF'!H117, År_etter_ferdigstillelse, karbon_opptak_faktor))*'Tillegg- Inndata GoF'!G117*'Tillegg- Inndata GoF'!L117*0.5))</f>
        <v>0</v>
      </c>
      <c r="W119" s="333">
        <f>IF('Tillegg- Inndata GoF'!G117=0,0,IF('Tillegg- Inndata GoF'!H117&gt;49,-0.064*'Tillegg- Inndata GoF'!G117*'Tillegg- Inndata GoF'!N117,-0.037*'Tillegg- Inndata GoF'!J117*'Tillegg- Inndata GoF'!N117))</f>
        <v>0</v>
      </c>
      <c r="X119" s="331" cm="1">
        <f t="array" ref="X119">IF(SUM(F119:J119,L119)=0, 0, SUM(F119:J119,L119)*(1+'Tillegg-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Y119" s="330" cm="1">
        <f t="array" ref="Y119">IF(X119=0, 0, SUM(K119,M119)*(1+'Tillegg-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Z119" s="336" cm="1">
        <f t="array" ref="Z119">IF(X119=0, 0, SUM(N119:P119)*(1+'Tillegg-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AA119" s="336" cm="1">
        <f t="array" ref="AA119">IF(X119=0, 0, ('Tillegg- Inndata GoF'!G117+'Tillegg- Inndata GoF'!O117+'Tillegg- Inndata GoF'!S117)*(1+'Tillegg- Inndata GoF'!K117)*Transport_utslipp_til_avfallshånderting_per_kg*IF('Tillegg- Inndata GoF'!H117&gt;50, 0, _xlfn.XLOOKUP('Tillegg- Inndata GoF'!H117, År_etter_ferdigstillelse, IF(VALUE(LEFT('Tillegg- Inndata GoF'!B117, 2))= 49, f_tid_x_f_tek_d_0_037_kumulativ, f_tid_x_f_tek_d_0_01_kumulativ))))</f>
        <v>0</v>
      </c>
      <c r="AB119" s="334" cm="1">
        <f t="array" ref="AB119">IF(X119=0, 0,1.833*'Tillegg- Inndata GoF'!J117*('Tillegg- Inndata GoF'!X117*_xlfn.XLOOKUP(IF('Tillegg- Inndata GoF'!I117&lt;2,'Tillegg- Inndata GoF'!H117,'Tillegg- Inndata GoF'!H117*2), År_etter_ferdigstillelse, Faktorer!$Z$7:$Z$58))*('Tillegg- Inndata GoF'!L117*0.5+'Tillegg- Inndata GoF'!M117*0.8)*_xlfn.XLOOKUP(IF('Tillegg- Inndata GoF'!I117&lt;2,'Tillegg- Inndata GoF'!H117,'Tillegg- Inndata GoF'!H117*2), År_etter_ferdigstillelse,  IF(LEFT('Tillegg- Inndata GoF'!B117, 2)= 49, f_tid_x_f_tek_d_0_037, f_tid_x_f_tek_d_0_01)))</f>
        <v>0</v>
      </c>
      <c r="AC119" s="335">
        <f>IF(('Tillegg- Inndata GoF'!G117) = 0, 0,(('Tillegg- Inndata GoF'!G117)*((AG119+AI119)*Transport_utslipp_til_avfallshånderting_per_kg)+('Tillegg- Inndata GoF'!Z117*'ZERO-B Beregning'!D219)*IF('ZERO-B Beregning'!F220=0,'ZERO-B Beregning'!D220,'ZERO-B Beregning'!F220))*_xlfn.XLOOKUP(51, År_etter_ferdigstillelse, f_tid_x_f_tek_d_0_01))</f>
        <v>0</v>
      </c>
      <c r="AD119" s="337">
        <f>IF(('Tillegg- Inndata GoF'!G117) = 0, 0,1.833*('Tillegg- Inndata GoF'!G117*('Tillegg- Inndata GoF'!L117*0.5+'Tillegg- Inndata GoF'!M117*0.8)*AG119*_xlfn.XLOOKUP(51, År_etter_ferdigstillelse,  f_tid_x_f_tek_d_0_01)))</f>
        <v>0</v>
      </c>
      <c r="AE119" s="333" cm="1">
        <f t="array" ref="AE119">IF(('Tillegg- Inndata GoF'!G117) = 0, 0,-0.8*('Tillegg- Inndata GoF'!G117)*AH119*('Tillegg- Inndata GoF'!E117/'Tillegg- Inndata GoF'!G117)*_xlfn.XLOOKUP(51, År_etter_ferdigstillelse,  IF(LEFT('Tillegg- Inndata GoF'!B117, 2)= 49, f_tid_x_f_tek_d_0_037, f_tid_x_f_tek_d_0_01)))</f>
        <v>0</v>
      </c>
      <c r="AF119" s="338" cm="1">
        <f t="array" ref="AF119">IF(('Tillegg- Inndata GoF'!G117) = 0, 0,-0.1*('Tillegg- Inndata GoF'!G117)*AI119*('Tillegg- Inndata GoF'!E117/'Tillegg- Inndata GoF'!G117)*_xlfn.XLOOKUP(51, År_etter_ferdigstillelse,  IF(LEFT('Tillegg- Inndata GoF'!B117, 2)= 49, f_tid_x_f_tek_d_0_037, f_tid_x_f_tek_d_0_01)))</f>
        <v>0</v>
      </c>
      <c r="AG119" s="572">
        <f>IF(('Tillegg- Inndata GoF'!G117) = 0, 0,'Tillegg- Inndata GoF'!X117*Faktorer!$Z$58)</f>
        <v>0</v>
      </c>
      <c r="AH119" s="573">
        <f>IF(('Tillegg- Inndata GoF'!G117) = 0, 0,'Tillegg- Inndata GoF'!Z117+('Tillegg- Inndata GoF'!X117+'Tillegg- Inndata GoF'!Y117)*(1-Faktorer!$Z$58)*0.5)</f>
        <v>0</v>
      </c>
      <c r="AI119" s="574">
        <f>IF(('Tillegg- Inndata GoF'!G117) = 0, 0,'Tillegg- Inndata GoF'!AA117+('Tillegg- Inndata GoF'!X117+'Tillegg- Inndata GoF'!Y117)*(1-Faktorer!$Z$58)*0.5)</f>
        <v>0</v>
      </c>
      <c r="AK119" s="90">
        <f t="shared" si="2"/>
        <v>0</v>
      </c>
      <c r="AL119" s="91">
        <f>'Tillegg- Res. detaljert GoF'!N119</f>
        <v>0</v>
      </c>
      <c r="AM119" s="91" t="str">
        <f>IF(F119=0,"",('Tillegg- Inndata GoF'!E119+'Tillegg- Inndata GoF'!F119)*ROUNDDOWN('Tillegg- Inndata GoF'!I119,0)*(1+'Tillegg- Inndata GoF'!K119))</f>
        <v/>
      </c>
    </row>
    <row r="120" spans="2:39">
      <c r="B120" s="327">
        <f>'Tillegg- Inndata GoF'!B118</f>
        <v>0</v>
      </c>
      <c r="C120" s="328">
        <f>'Tillegg- Inndata GoF'!C118</f>
        <v>0</v>
      </c>
      <c r="D120" s="329">
        <f>'Tillegg- Inndata GoF'!D118</f>
        <v>0</v>
      </c>
      <c r="E120" s="661" cm="1">
        <f t="array" ref="E120">SUM(IFERROR(F120:AF120,0))</f>
        <v>0</v>
      </c>
      <c r="F120" s="330">
        <f>'Tillegg- Inndata GoF'!E118</f>
        <v>0</v>
      </c>
      <c r="G120" s="330">
        <f>IF('Tillegg- Inndata GoF'!AB118="Ja", -0.8*'Tillegg- Res. detaljert GoF'!$F120, 0)</f>
        <v>0</v>
      </c>
      <c r="H120" s="330">
        <f>IF('Tillegg- Inndata GoF'!AC118="Ja", -0.4*'Tillegg- Res. detaljert GoF'!$F120, 0)</f>
        <v>0</v>
      </c>
      <c r="I120" s="330">
        <f>IF('Tillegg- Inndata GoF'!AD118="Ja", -1*'Tillegg- Res. detaljert GoF'!$F120, 0)</f>
        <v>0</v>
      </c>
      <c r="J120" s="330">
        <f>'Tillegg- Inndata GoF'!O118*'Tillegg- Inndata GoF'!P118</f>
        <v>0</v>
      </c>
      <c r="K120" s="330">
        <f>MAX(-0.75*(SUM('Tillegg- Res. detaljert GoF'!F120:J120)),-'Tillegg- Inndata GoF'!O118*'Tillegg- Inndata GoF'!Q118)</f>
        <v>0</v>
      </c>
      <c r="L120" s="330">
        <f>'Tillegg- Inndata GoF'!S118*'Tillegg- Inndata GoF'!T118</f>
        <v>0</v>
      </c>
      <c r="M120" s="330">
        <f>MAX(-0.75*(SUM('Tillegg- Res. detaljert GoF'!F120:I120,L120)),-'Tillegg- Inndata GoF'!S118*'Tillegg- Inndata GoF'!U118)</f>
        <v>0</v>
      </c>
      <c r="N120" s="331">
        <f>'Tillegg- Inndata GoF'!F118</f>
        <v>0</v>
      </c>
      <c r="O120" s="330">
        <f>'Tillegg- Inndata GoF'!O118*'Tillegg- Inndata GoF'!R118</f>
        <v>0</v>
      </c>
      <c r="P120" s="332">
        <f>'Tillegg- Inndata GoF'!S118*'Tillegg- Inndata GoF'!V118</f>
        <v>0</v>
      </c>
      <c r="Q120" s="333">
        <f>SUM(F120:J120,L120)*'Tillegg- Inndata GoF'!K118</f>
        <v>0</v>
      </c>
      <c r="R120" s="333">
        <f>(K120+M120)*'Tillegg- Inndata GoF'!K118</f>
        <v>0</v>
      </c>
      <c r="S120" s="333">
        <f>SUM(N120:P120)*'Tillegg- Inndata GoF'!K118</f>
        <v>0</v>
      </c>
      <c r="T120" s="334">
        <f>('Tillegg- Inndata GoF'!G118+'Tillegg- Inndata GoF'!O118+'Tillegg- Inndata GoF'!S118)*'Tillegg- Inndata GoF'!K118*Transport_utslipp_til_avfallshånderting_per_kg</f>
        <v>0</v>
      </c>
      <c r="U120" s="330">
        <f>IF('Tillegg- Inndata GoF'!E118 = 0, 0, 1.833*'Tillegg- Inndata GoF'!X118*'Tillegg- Inndata GoF'!K118*('Tillegg- Inndata GoF'!G118*('Tillegg- Inndata GoF'!L118*0.5+'Tillegg- Inndata GoF'!M118*0.8) + (12/44)*('Tillegg- Inndata GoF'!O118*'Tillegg- Inndata GoF'!Q118+'Tillegg- Inndata GoF'!S118*'Tillegg- Inndata GoF'!U118)))</f>
        <v>0</v>
      </c>
      <c r="V120" s="335">
        <f>IF('Tillegg- Inndata GoF'!G118 = 0, 0,  MAX(-SUM(F120:J120,L120)*'Tillegg- Inndata GoF'!L118, -0.114*IF('Tillegg- Inndata GoF'!H118 &gt; 49, _xlfn.XLOOKUP(49, År_etter_ferdigstillelse, karbon_opptak_faktor), _xlfn.XLOOKUP('Tillegg- Inndata GoF'!H118, År_etter_ferdigstillelse, karbon_opptak_faktor))*'Tillegg- Inndata GoF'!G118*'Tillegg- Inndata GoF'!L118*0.5))</f>
        <v>0</v>
      </c>
      <c r="W120" s="333">
        <f>IF('Tillegg- Inndata GoF'!G118=0,0,IF('Tillegg- Inndata GoF'!H118&gt;49,-0.064*'Tillegg- Inndata GoF'!G118*'Tillegg- Inndata GoF'!N118,-0.037*'Tillegg- Inndata GoF'!J118*'Tillegg- Inndata GoF'!N118))</f>
        <v>0</v>
      </c>
      <c r="X120" s="331" cm="1">
        <f t="array" ref="X120">IF(SUM(F120:J120,L120)=0, 0, SUM(F120:J120,L120)*(1+'Tillegg-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Y120" s="330" cm="1">
        <f t="array" ref="Y120">IF(X120=0, 0, SUM(K120,M120)*(1+'Tillegg-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Z120" s="336" cm="1">
        <f t="array" ref="Z120">IF(X120=0, 0, SUM(N120:P120)*(1+'Tillegg-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AA120" s="336" cm="1">
        <f t="array" ref="AA120">IF(X120=0, 0, ('Tillegg- Inndata GoF'!G118+'Tillegg- Inndata GoF'!O118+'Tillegg- Inndata GoF'!S118)*(1+'Tillegg- Inndata GoF'!K118)*Transport_utslipp_til_avfallshånderting_per_kg*IF('Tillegg- Inndata GoF'!H118&gt;50, 0, _xlfn.XLOOKUP('Tillegg- Inndata GoF'!H118, År_etter_ferdigstillelse, IF(VALUE(LEFT('Tillegg- Inndata GoF'!B118, 2))= 49, f_tid_x_f_tek_d_0_037_kumulativ, f_tid_x_f_tek_d_0_01_kumulativ))))</f>
        <v>0</v>
      </c>
      <c r="AB120" s="334" cm="1">
        <f t="array" ref="AB120">IF(X120=0, 0,1.833*'Tillegg- Inndata GoF'!J118*('Tillegg- Inndata GoF'!X118*_xlfn.XLOOKUP(IF('Tillegg- Inndata GoF'!I118&lt;2,'Tillegg- Inndata GoF'!H118,'Tillegg- Inndata GoF'!H118*2), År_etter_ferdigstillelse, Faktorer!$Z$7:$Z$58))*('Tillegg- Inndata GoF'!L118*0.5+'Tillegg- Inndata GoF'!M118*0.8)*_xlfn.XLOOKUP(IF('Tillegg- Inndata GoF'!I118&lt;2,'Tillegg- Inndata GoF'!H118,'Tillegg- Inndata GoF'!H118*2), År_etter_ferdigstillelse,  IF(LEFT('Tillegg- Inndata GoF'!B118, 2)= 49, f_tid_x_f_tek_d_0_037, f_tid_x_f_tek_d_0_01)))</f>
        <v>0</v>
      </c>
      <c r="AC120" s="335">
        <f>IF(('Tillegg- Inndata GoF'!G118) = 0, 0,(('Tillegg- Inndata GoF'!G118)*((AG120+AI120)*Transport_utslipp_til_avfallshånderting_per_kg)+('Tillegg- Inndata GoF'!Z118*'ZERO-B Beregning'!D220)*IF('ZERO-B Beregning'!F221=0,'ZERO-B Beregning'!D221,'ZERO-B Beregning'!F221))*_xlfn.XLOOKUP(51, År_etter_ferdigstillelse, f_tid_x_f_tek_d_0_01))</f>
        <v>0</v>
      </c>
      <c r="AD120" s="337">
        <f>IF(('Tillegg- Inndata GoF'!G118) = 0, 0,1.833*('Tillegg- Inndata GoF'!G118*('Tillegg- Inndata GoF'!L118*0.5+'Tillegg- Inndata GoF'!M118*0.8)*AG120*_xlfn.XLOOKUP(51, År_etter_ferdigstillelse,  f_tid_x_f_tek_d_0_01)))</f>
        <v>0</v>
      </c>
      <c r="AE120" s="333" cm="1">
        <f t="array" ref="AE120">IF(('Tillegg- Inndata GoF'!G118) = 0, 0,-0.8*('Tillegg- Inndata GoF'!G118)*AH120*('Tillegg- Inndata GoF'!E118/'Tillegg- Inndata GoF'!G118)*_xlfn.XLOOKUP(51, År_etter_ferdigstillelse,  IF(LEFT('Tillegg- Inndata GoF'!B118, 2)= 49, f_tid_x_f_tek_d_0_037, f_tid_x_f_tek_d_0_01)))</f>
        <v>0</v>
      </c>
      <c r="AF120" s="338" cm="1">
        <f t="array" ref="AF120">IF(('Tillegg- Inndata GoF'!G118) = 0, 0,-0.1*('Tillegg- Inndata GoF'!G118)*AI120*('Tillegg- Inndata GoF'!E118/'Tillegg- Inndata GoF'!G118)*_xlfn.XLOOKUP(51, År_etter_ferdigstillelse,  IF(LEFT('Tillegg- Inndata GoF'!B118, 2)= 49, f_tid_x_f_tek_d_0_037, f_tid_x_f_tek_d_0_01)))</f>
        <v>0</v>
      </c>
      <c r="AG120" s="572">
        <f>IF(('Tillegg- Inndata GoF'!G118) = 0, 0,'Tillegg- Inndata GoF'!X118*Faktorer!$Z$58)</f>
        <v>0</v>
      </c>
      <c r="AH120" s="573">
        <f>IF(('Tillegg- Inndata GoF'!G118) = 0, 0,'Tillegg- Inndata GoF'!Z118+('Tillegg- Inndata GoF'!X118+'Tillegg- Inndata GoF'!Y118)*(1-Faktorer!$Z$58)*0.5)</f>
        <v>0</v>
      </c>
      <c r="AI120" s="574">
        <f>IF(('Tillegg- Inndata GoF'!G118) = 0, 0,'Tillegg- Inndata GoF'!AA118+('Tillegg- Inndata GoF'!X118+'Tillegg- Inndata GoF'!Y118)*(1-Faktorer!$Z$58)*0.5)</f>
        <v>0</v>
      </c>
      <c r="AK120" s="90">
        <f t="shared" si="2"/>
        <v>0</v>
      </c>
      <c r="AL120" s="91">
        <f>'Tillegg- Res. detaljert GoF'!N120</f>
        <v>0</v>
      </c>
      <c r="AM120" s="91" t="str">
        <f>IF(F120=0,"",('Tillegg- Inndata GoF'!E120+'Tillegg- Inndata GoF'!F120)*ROUNDDOWN('Tillegg- Inndata GoF'!I120,0)*(1+'Tillegg- Inndata GoF'!K120))</f>
        <v/>
      </c>
    </row>
    <row r="121" spans="2:39">
      <c r="B121" s="327">
        <f>'Tillegg- Inndata GoF'!B119</f>
        <v>0</v>
      </c>
      <c r="C121" s="328">
        <f>'Tillegg- Inndata GoF'!C119</f>
        <v>0</v>
      </c>
      <c r="D121" s="329">
        <f>'Tillegg- Inndata GoF'!D119</f>
        <v>0</v>
      </c>
      <c r="E121" s="661" cm="1">
        <f t="array" ref="E121">SUM(IFERROR(F121:AF121,0))</f>
        <v>0</v>
      </c>
      <c r="F121" s="330">
        <f>'Tillegg- Inndata GoF'!E119</f>
        <v>0</v>
      </c>
      <c r="G121" s="330">
        <f>IF('Tillegg- Inndata GoF'!AB119="Ja", -0.8*'Tillegg- Res. detaljert GoF'!$F121, 0)</f>
        <v>0</v>
      </c>
      <c r="H121" s="330">
        <f>IF('Tillegg- Inndata GoF'!AC119="Ja", -0.4*'Tillegg- Res. detaljert GoF'!$F121, 0)</f>
        <v>0</v>
      </c>
      <c r="I121" s="330">
        <f>IF('Tillegg- Inndata GoF'!AD119="Ja", -1*'Tillegg- Res. detaljert GoF'!$F121, 0)</f>
        <v>0</v>
      </c>
      <c r="J121" s="330">
        <f>'Tillegg- Inndata GoF'!O119*'Tillegg- Inndata GoF'!P119</f>
        <v>0</v>
      </c>
      <c r="K121" s="330">
        <f>MAX(-0.75*(SUM('Tillegg- Res. detaljert GoF'!F121:J121)),-'Tillegg- Inndata GoF'!O119*'Tillegg- Inndata GoF'!Q119)</f>
        <v>0</v>
      </c>
      <c r="L121" s="330">
        <f>'Tillegg- Inndata GoF'!S119*'Tillegg- Inndata GoF'!T119</f>
        <v>0</v>
      </c>
      <c r="M121" s="330">
        <f>MAX(-0.75*(SUM('Tillegg- Res. detaljert GoF'!F121:I121,L121)),-'Tillegg- Inndata GoF'!S119*'Tillegg- Inndata GoF'!U119)</f>
        <v>0</v>
      </c>
      <c r="N121" s="331">
        <f>'Tillegg- Inndata GoF'!F119</f>
        <v>0</v>
      </c>
      <c r="O121" s="330">
        <f>'Tillegg- Inndata GoF'!O119*'Tillegg- Inndata GoF'!R119</f>
        <v>0</v>
      </c>
      <c r="P121" s="332">
        <f>'Tillegg- Inndata GoF'!S119*'Tillegg- Inndata GoF'!V119</f>
        <v>0</v>
      </c>
      <c r="Q121" s="333">
        <f>SUM(F121:J121,L121)*'Tillegg- Inndata GoF'!K119</f>
        <v>0</v>
      </c>
      <c r="R121" s="333">
        <f>(K121+M121)*'Tillegg- Inndata GoF'!K119</f>
        <v>0</v>
      </c>
      <c r="S121" s="333">
        <f>SUM(N121:P121)*'Tillegg- Inndata GoF'!K119</f>
        <v>0</v>
      </c>
      <c r="T121" s="334">
        <f>('Tillegg- Inndata GoF'!G119+'Tillegg- Inndata GoF'!O119+'Tillegg- Inndata GoF'!S119)*'Tillegg- Inndata GoF'!K119*Transport_utslipp_til_avfallshånderting_per_kg</f>
        <v>0</v>
      </c>
      <c r="U121" s="330">
        <f>IF('Tillegg- Inndata GoF'!E119 = 0, 0, 1.833*'Tillegg- Inndata GoF'!X119*'Tillegg- Inndata GoF'!K119*('Tillegg- Inndata GoF'!G119*('Tillegg- Inndata GoF'!L119*0.5+'Tillegg- Inndata GoF'!M119*0.8) + (12/44)*('Tillegg- Inndata GoF'!O119*'Tillegg- Inndata GoF'!Q119+'Tillegg- Inndata GoF'!S119*'Tillegg- Inndata GoF'!U119)))</f>
        <v>0</v>
      </c>
      <c r="V121" s="335">
        <f>IF('Tillegg- Inndata GoF'!G119 = 0, 0,  MAX(-SUM(F121:J121,L121)*'Tillegg- Inndata GoF'!L119, -0.114*IF('Tillegg- Inndata GoF'!H119 &gt; 49, _xlfn.XLOOKUP(49, År_etter_ferdigstillelse, karbon_opptak_faktor), _xlfn.XLOOKUP('Tillegg- Inndata GoF'!H119, År_etter_ferdigstillelse, karbon_opptak_faktor))*'Tillegg- Inndata GoF'!G119*'Tillegg- Inndata GoF'!L119*0.5))</f>
        <v>0</v>
      </c>
      <c r="W121" s="333">
        <f>IF('Tillegg- Inndata GoF'!G119=0,0,IF('Tillegg- Inndata GoF'!H119&gt;49,-0.064*'Tillegg- Inndata GoF'!G119*'Tillegg- Inndata GoF'!N119,-0.037*'Tillegg- Inndata GoF'!J119*'Tillegg- Inndata GoF'!N119))</f>
        <v>0</v>
      </c>
      <c r="X121" s="331" cm="1">
        <f t="array" ref="X121">IF(SUM(F121:J121,L121)=0, 0, SUM(F121:J121,L121)*(1+'Tillegg-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Y121" s="330" cm="1">
        <f t="array" ref="Y121">IF(X121=0, 0, SUM(K121,M121)*(1+'Tillegg-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Z121" s="336" cm="1">
        <f t="array" ref="Z121">IF(X121=0, 0, SUM(N121:P121)*(1+'Tillegg-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AA121" s="336" cm="1">
        <f t="array" ref="AA121">IF(X121=0, 0, ('Tillegg- Inndata GoF'!G119+'Tillegg- Inndata GoF'!O119+'Tillegg- Inndata GoF'!S119)*(1+'Tillegg- Inndata GoF'!K119)*Transport_utslipp_til_avfallshånderting_per_kg*IF('Tillegg- Inndata GoF'!H119&gt;50, 0, _xlfn.XLOOKUP('Tillegg- Inndata GoF'!H119, År_etter_ferdigstillelse, IF(VALUE(LEFT('Tillegg- Inndata GoF'!B119, 2))= 49, f_tid_x_f_tek_d_0_037_kumulativ, f_tid_x_f_tek_d_0_01_kumulativ))))</f>
        <v>0</v>
      </c>
      <c r="AB121" s="334" cm="1">
        <f t="array" ref="AB121">IF(X121=0, 0,1.833*'Tillegg- Inndata GoF'!J119*('Tillegg- Inndata GoF'!X119*_xlfn.XLOOKUP(IF('Tillegg- Inndata GoF'!I119&lt;2,'Tillegg- Inndata GoF'!H119,'Tillegg- Inndata GoF'!H119*2), År_etter_ferdigstillelse, Faktorer!$Z$7:$Z$58))*('Tillegg- Inndata GoF'!L119*0.5+'Tillegg- Inndata GoF'!M119*0.8)*_xlfn.XLOOKUP(IF('Tillegg- Inndata GoF'!I119&lt;2,'Tillegg- Inndata GoF'!H119,'Tillegg- Inndata GoF'!H119*2), År_etter_ferdigstillelse,  IF(LEFT('Tillegg- Inndata GoF'!B119, 2)= 49, f_tid_x_f_tek_d_0_037, f_tid_x_f_tek_d_0_01)))</f>
        <v>0</v>
      </c>
      <c r="AC121" s="335">
        <f>IF(('Tillegg- Inndata GoF'!G119) = 0, 0,(('Tillegg- Inndata GoF'!G119)*((AG121+AI121)*Transport_utslipp_til_avfallshånderting_per_kg)+('Tillegg- Inndata GoF'!Z119*'ZERO-B Beregning'!D221)*IF('ZERO-B Beregning'!F222=0,'ZERO-B Beregning'!D222,'ZERO-B Beregning'!F222))*_xlfn.XLOOKUP(51, År_etter_ferdigstillelse, f_tid_x_f_tek_d_0_01))</f>
        <v>0</v>
      </c>
      <c r="AD121" s="337">
        <f>IF(('Tillegg- Inndata GoF'!G119) = 0, 0,1.833*('Tillegg- Inndata GoF'!G119*('Tillegg- Inndata GoF'!L119*0.5+'Tillegg- Inndata GoF'!M119*0.8)*AG121*_xlfn.XLOOKUP(51, År_etter_ferdigstillelse,  f_tid_x_f_tek_d_0_01)))</f>
        <v>0</v>
      </c>
      <c r="AE121" s="333" cm="1">
        <f t="array" ref="AE121">IF(('Tillegg- Inndata GoF'!G119) = 0, 0,-0.8*('Tillegg- Inndata GoF'!G119)*AH121*('Tillegg- Inndata GoF'!E119/'Tillegg- Inndata GoF'!G119)*_xlfn.XLOOKUP(51, År_etter_ferdigstillelse,  IF(LEFT('Tillegg- Inndata GoF'!B119, 2)= 49, f_tid_x_f_tek_d_0_037, f_tid_x_f_tek_d_0_01)))</f>
        <v>0</v>
      </c>
      <c r="AF121" s="338" cm="1">
        <f t="array" ref="AF121">IF(('Tillegg- Inndata GoF'!G119) = 0, 0,-0.1*('Tillegg- Inndata GoF'!G119)*AI121*('Tillegg- Inndata GoF'!E119/'Tillegg- Inndata GoF'!G119)*_xlfn.XLOOKUP(51, År_etter_ferdigstillelse,  IF(LEFT('Tillegg- Inndata GoF'!B119, 2)= 49, f_tid_x_f_tek_d_0_037, f_tid_x_f_tek_d_0_01)))</f>
        <v>0</v>
      </c>
      <c r="AG121" s="572">
        <f>IF(('Tillegg- Inndata GoF'!G119) = 0, 0,'Tillegg- Inndata GoF'!X119*Faktorer!$Z$58)</f>
        <v>0</v>
      </c>
      <c r="AH121" s="573">
        <f>IF(('Tillegg- Inndata GoF'!G119) = 0, 0,'Tillegg- Inndata GoF'!Z119+('Tillegg- Inndata GoF'!X119+'Tillegg- Inndata GoF'!Y119)*(1-Faktorer!$Z$58)*0.5)</f>
        <v>0</v>
      </c>
      <c r="AI121" s="574">
        <f>IF(('Tillegg- Inndata GoF'!G119) = 0, 0,'Tillegg- Inndata GoF'!AA119+('Tillegg- Inndata GoF'!X119+'Tillegg- Inndata GoF'!Y119)*(1-Faktorer!$Z$58)*0.5)</f>
        <v>0</v>
      </c>
      <c r="AK121" s="90">
        <f t="shared" si="2"/>
        <v>0</v>
      </c>
      <c r="AL121" s="91">
        <f>'Tillegg- Res. detaljert GoF'!N121</f>
        <v>0</v>
      </c>
      <c r="AM121" s="91" t="str">
        <f>IF(F121=0,"",('Tillegg- Inndata GoF'!E121+'Tillegg- Inndata GoF'!F121)*ROUNDDOWN('Tillegg- Inndata GoF'!I121,0)*(1+'Tillegg- Inndata GoF'!K121))</f>
        <v/>
      </c>
    </row>
    <row r="122" spans="2:39">
      <c r="B122" s="327">
        <f>'Tillegg- Inndata GoF'!B120</f>
        <v>0</v>
      </c>
      <c r="C122" s="328">
        <f>'Tillegg- Inndata GoF'!C120</f>
        <v>0</v>
      </c>
      <c r="D122" s="329">
        <f>'Tillegg- Inndata GoF'!D120</f>
        <v>0</v>
      </c>
      <c r="E122" s="661" cm="1">
        <f t="array" ref="E122">SUM(IFERROR(F122:AF122,0))</f>
        <v>0</v>
      </c>
      <c r="F122" s="330">
        <f>'Tillegg- Inndata GoF'!E120</f>
        <v>0</v>
      </c>
      <c r="G122" s="330">
        <f>IF('Tillegg- Inndata GoF'!AB120="Ja", -0.8*'Tillegg- Res. detaljert GoF'!$F122, 0)</f>
        <v>0</v>
      </c>
      <c r="H122" s="330">
        <f>IF('Tillegg- Inndata GoF'!AC120="Ja", -0.4*'Tillegg- Res. detaljert GoF'!$F122, 0)</f>
        <v>0</v>
      </c>
      <c r="I122" s="330">
        <f>IF('Tillegg- Inndata GoF'!AD120="Ja", -1*'Tillegg- Res. detaljert GoF'!$F122, 0)</f>
        <v>0</v>
      </c>
      <c r="J122" s="330">
        <f>'Tillegg- Inndata GoF'!O120*'Tillegg- Inndata GoF'!P120</f>
        <v>0</v>
      </c>
      <c r="K122" s="330">
        <f>MAX(-0.75*(SUM('Tillegg- Res. detaljert GoF'!F122:J122)),-'Tillegg- Inndata GoF'!O120*'Tillegg- Inndata GoF'!Q120)</f>
        <v>0</v>
      </c>
      <c r="L122" s="330">
        <f>'Tillegg- Inndata GoF'!S120*'Tillegg- Inndata GoF'!T120</f>
        <v>0</v>
      </c>
      <c r="M122" s="330">
        <f>MAX(-0.75*(SUM('Tillegg- Res. detaljert GoF'!F122:I122,L122)),-'Tillegg- Inndata GoF'!S120*'Tillegg- Inndata GoF'!U120)</f>
        <v>0</v>
      </c>
      <c r="N122" s="331">
        <f>'Tillegg- Inndata GoF'!F120</f>
        <v>0</v>
      </c>
      <c r="O122" s="330">
        <f>'Tillegg- Inndata GoF'!O120*'Tillegg- Inndata GoF'!R120</f>
        <v>0</v>
      </c>
      <c r="P122" s="332">
        <f>'Tillegg- Inndata GoF'!S120*'Tillegg- Inndata GoF'!V120</f>
        <v>0</v>
      </c>
      <c r="Q122" s="333">
        <f>SUM(F122:J122,L122)*'Tillegg- Inndata GoF'!K120</f>
        <v>0</v>
      </c>
      <c r="R122" s="333">
        <f>(K122+M122)*'Tillegg- Inndata GoF'!K120</f>
        <v>0</v>
      </c>
      <c r="S122" s="333">
        <f>SUM(N122:P122)*'Tillegg- Inndata GoF'!K120</f>
        <v>0</v>
      </c>
      <c r="T122" s="334">
        <f>('Tillegg- Inndata GoF'!G120+'Tillegg- Inndata GoF'!O120+'Tillegg- Inndata GoF'!S120)*'Tillegg- Inndata GoF'!K120*Transport_utslipp_til_avfallshånderting_per_kg</f>
        <v>0</v>
      </c>
      <c r="U122" s="330">
        <f>IF('Tillegg- Inndata GoF'!E120 = 0, 0, 1.833*'Tillegg- Inndata GoF'!X120*'Tillegg- Inndata GoF'!K120*('Tillegg- Inndata GoF'!G120*('Tillegg- Inndata GoF'!L120*0.5+'Tillegg- Inndata GoF'!M120*0.8) + (12/44)*('Tillegg- Inndata GoF'!O120*'Tillegg- Inndata GoF'!Q120+'Tillegg- Inndata GoF'!S120*'Tillegg- Inndata GoF'!U120)))</f>
        <v>0</v>
      </c>
      <c r="V122" s="335">
        <f>IF('Tillegg- Inndata GoF'!G120 = 0, 0,  MAX(-SUM(F122:J122,L122)*'Tillegg- Inndata GoF'!L120, -0.114*IF('Tillegg- Inndata GoF'!H120 &gt; 49, _xlfn.XLOOKUP(49, År_etter_ferdigstillelse, karbon_opptak_faktor), _xlfn.XLOOKUP('Tillegg- Inndata GoF'!H120, År_etter_ferdigstillelse, karbon_opptak_faktor))*'Tillegg- Inndata GoF'!G120*'Tillegg- Inndata GoF'!L120*0.5))</f>
        <v>0</v>
      </c>
      <c r="W122" s="333">
        <f>IF('Tillegg- Inndata GoF'!G120=0,0,IF('Tillegg- Inndata GoF'!H120&gt;49,-0.064*'Tillegg- Inndata GoF'!G120*'Tillegg- Inndata GoF'!N120,-0.037*'Tillegg- Inndata GoF'!J120*'Tillegg- Inndata GoF'!N120))</f>
        <v>0</v>
      </c>
      <c r="X122" s="331" cm="1">
        <f t="array" ref="X122">IF(SUM(F122:J122,L122)=0, 0, SUM(F122:J122,L122)*(1+'Tillegg-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Y122" s="330" cm="1">
        <f t="array" ref="Y122">IF(X122=0, 0, SUM(K122,M122)*(1+'Tillegg-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Z122" s="336" cm="1">
        <f t="array" ref="Z122">IF(X122=0, 0, SUM(N122:P122)*(1+'Tillegg-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AA122" s="336" cm="1">
        <f t="array" ref="AA122">IF(X122=0, 0, ('Tillegg- Inndata GoF'!G120+'Tillegg- Inndata GoF'!O120+'Tillegg- Inndata GoF'!S120)*(1+'Tillegg- Inndata GoF'!K120)*Transport_utslipp_til_avfallshånderting_per_kg*IF('Tillegg- Inndata GoF'!H120&gt;50, 0, _xlfn.XLOOKUP('Tillegg- Inndata GoF'!H120, År_etter_ferdigstillelse, IF(VALUE(LEFT('Tillegg- Inndata GoF'!B120, 2))= 49, f_tid_x_f_tek_d_0_037_kumulativ, f_tid_x_f_tek_d_0_01_kumulativ))))</f>
        <v>0</v>
      </c>
      <c r="AB122" s="334" cm="1">
        <f t="array" ref="AB122">IF(X122=0, 0,1.833*'Tillegg- Inndata GoF'!J120*('Tillegg- Inndata GoF'!X120*_xlfn.XLOOKUP(IF('Tillegg- Inndata GoF'!I120&lt;2,'Tillegg- Inndata GoF'!H120,'Tillegg- Inndata GoF'!H120*2), År_etter_ferdigstillelse, Faktorer!$Z$7:$Z$58))*('Tillegg- Inndata GoF'!L120*0.5+'Tillegg- Inndata GoF'!M120*0.8)*_xlfn.XLOOKUP(IF('Tillegg- Inndata GoF'!I120&lt;2,'Tillegg- Inndata GoF'!H120,'Tillegg- Inndata GoF'!H120*2), År_etter_ferdigstillelse,  IF(LEFT('Tillegg- Inndata GoF'!B120, 2)= 49, f_tid_x_f_tek_d_0_037, f_tid_x_f_tek_d_0_01)))</f>
        <v>0</v>
      </c>
      <c r="AC122" s="335">
        <f>IF(('Tillegg- Inndata GoF'!G120) = 0, 0,(('Tillegg- Inndata GoF'!G120)*((AG122+AI122)*Transport_utslipp_til_avfallshånderting_per_kg)+('Tillegg- Inndata GoF'!Z120*'ZERO-B Beregning'!D222)*IF('ZERO-B Beregning'!F223=0,'ZERO-B Beregning'!D223,'ZERO-B Beregning'!F223))*_xlfn.XLOOKUP(51, År_etter_ferdigstillelse, f_tid_x_f_tek_d_0_01))</f>
        <v>0</v>
      </c>
      <c r="AD122" s="337">
        <f>IF(('Tillegg- Inndata GoF'!G120) = 0, 0,1.833*('Tillegg- Inndata GoF'!G120*('Tillegg- Inndata GoF'!L120*0.5+'Tillegg- Inndata GoF'!M120*0.8)*AG122*_xlfn.XLOOKUP(51, År_etter_ferdigstillelse,  f_tid_x_f_tek_d_0_01)))</f>
        <v>0</v>
      </c>
      <c r="AE122" s="333" cm="1">
        <f t="array" ref="AE122">IF(('Tillegg- Inndata GoF'!G120) = 0, 0,-0.8*('Tillegg- Inndata GoF'!G120)*AH122*('Tillegg- Inndata GoF'!E120/'Tillegg- Inndata GoF'!G120)*_xlfn.XLOOKUP(51, År_etter_ferdigstillelse,  IF(LEFT('Tillegg- Inndata GoF'!B120, 2)= 49, f_tid_x_f_tek_d_0_037, f_tid_x_f_tek_d_0_01)))</f>
        <v>0</v>
      </c>
      <c r="AF122" s="338" cm="1">
        <f t="array" ref="AF122">IF(('Tillegg- Inndata GoF'!G120) = 0, 0,-0.1*('Tillegg- Inndata GoF'!G120)*AI122*('Tillegg- Inndata GoF'!E120/'Tillegg- Inndata GoF'!G120)*_xlfn.XLOOKUP(51, År_etter_ferdigstillelse,  IF(LEFT('Tillegg- Inndata GoF'!B120, 2)= 49, f_tid_x_f_tek_d_0_037, f_tid_x_f_tek_d_0_01)))</f>
        <v>0</v>
      </c>
      <c r="AG122" s="572">
        <f>IF(('Tillegg- Inndata GoF'!G120) = 0, 0,'Tillegg- Inndata GoF'!X120*Faktorer!$Z$58)</f>
        <v>0</v>
      </c>
      <c r="AH122" s="573">
        <f>IF(('Tillegg- Inndata GoF'!G120) = 0, 0,'Tillegg- Inndata GoF'!Z120+('Tillegg- Inndata GoF'!X120+'Tillegg- Inndata GoF'!Y120)*(1-Faktorer!$Z$58)*0.5)</f>
        <v>0</v>
      </c>
      <c r="AI122" s="574">
        <f>IF(('Tillegg- Inndata GoF'!G120) = 0, 0,'Tillegg- Inndata GoF'!AA120+('Tillegg- Inndata GoF'!X120+'Tillegg- Inndata GoF'!Y120)*(1-Faktorer!$Z$58)*0.5)</f>
        <v>0</v>
      </c>
      <c r="AK122" s="90">
        <f t="shared" si="2"/>
        <v>0</v>
      </c>
      <c r="AL122" s="91">
        <f>'Tillegg- Res. detaljert GoF'!N122</f>
        <v>0</v>
      </c>
      <c r="AM122" s="91" t="str">
        <f>IF(F122=0,"",('Tillegg- Inndata GoF'!E122+'Tillegg- Inndata GoF'!F122)*ROUNDDOWN('Tillegg- Inndata GoF'!I122,0)*(1+'Tillegg- Inndata GoF'!K122))</f>
        <v/>
      </c>
    </row>
    <row r="123" spans="2:39">
      <c r="B123" s="327">
        <f>'Tillegg- Inndata GoF'!B121</f>
        <v>0</v>
      </c>
      <c r="C123" s="328">
        <f>'Tillegg- Inndata GoF'!C121</f>
        <v>0</v>
      </c>
      <c r="D123" s="329">
        <f>'Tillegg- Inndata GoF'!D121</f>
        <v>0</v>
      </c>
      <c r="E123" s="661" cm="1">
        <f t="array" ref="E123">SUM(IFERROR(F123:AF123,0))</f>
        <v>0</v>
      </c>
      <c r="F123" s="330">
        <f>'Tillegg- Inndata GoF'!E121</f>
        <v>0</v>
      </c>
      <c r="G123" s="330">
        <f>IF('Tillegg- Inndata GoF'!AB121="Ja", -0.8*'Tillegg- Res. detaljert GoF'!$F123, 0)</f>
        <v>0</v>
      </c>
      <c r="H123" s="330">
        <f>IF('Tillegg- Inndata GoF'!AC121="Ja", -0.4*'Tillegg- Res. detaljert GoF'!$F123, 0)</f>
        <v>0</v>
      </c>
      <c r="I123" s="330">
        <f>IF('Tillegg- Inndata GoF'!AD121="Ja", -1*'Tillegg- Res. detaljert GoF'!$F123, 0)</f>
        <v>0</v>
      </c>
      <c r="J123" s="330">
        <f>'Tillegg- Inndata GoF'!O121*'Tillegg- Inndata GoF'!P121</f>
        <v>0</v>
      </c>
      <c r="K123" s="330">
        <f>MAX(-0.75*(SUM('Tillegg- Res. detaljert GoF'!F123:J123)),-'Tillegg- Inndata GoF'!O121*'Tillegg- Inndata GoF'!Q121)</f>
        <v>0</v>
      </c>
      <c r="L123" s="330">
        <f>'Tillegg- Inndata GoF'!S121*'Tillegg- Inndata GoF'!T121</f>
        <v>0</v>
      </c>
      <c r="M123" s="330">
        <f>MAX(-0.75*(SUM('Tillegg- Res. detaljert GoF'!F123:I123,L123)),-'Tillegg- Inndata GoF'!S121*'Tillegg- Inndata GoF'!U121)</f>
        <v>0</v>
      </c>
      <c r="N123" s="331">
        <f>'Tillegg- Inndata GoF'!F121</f>
        <v>0</v>
      </c>
      <c r="O123" s="330">
        <f>'Tillegg- Inndata GoF'!O121*'Tillegg- Inndata GoF'!R121</f>
        <v>0</v>
      </c>
      <c r="P123" s="332">
        <f>'Tillegg- Inndata GoF'!S121*'Tillegg- Inndata GoF'!V121</f>
        <v>0</v>
      </c>
      <c r="Q123" s="333">
        <f>SUM(F123:J123,L123)*'Tillegg- Inndata GoF'!K121</f>
        <v>0</v>
      </c>
      <c r="R123" s="333">
        <f>(K123+M123)*'Tillegg- Inndata GoF'!K121</f>
        <v>0</v>
      </c>
      <c r="S123" s="333">
        <f>SUM(N123:P123)*'Tillegg- Inndata GoF'!K121</f>
        <v>0</v>
      </c>
      <c r="T123" s="334">
        <f>('Tillegg- Inndata GoF'!G121+'Tillegg- Inndata GoF'!O121+'Tillegg- Inndata GoF'!S121)*'Tillegg- Inndata GoF'!K121*Transport_utslipp_til_avfallshånderting_per_kg</f>
        <v>0</v>
      </c>
      <c r="U123" s="330">
        <f>IF('Tillegg- Inndata GoF'!E121 = 0, 0, 1.833*'Tillegg- Inndata GoF'!X121*'Tillegg- Inndata GoF'!K121*('Tillegg- Inndata GoF'!G121*('Tillegg- Inndata GoF'!L121*0.5+'Tillegg- Inndata GoF'!M121*0.8) + (12/44)*('Tillegg- Inndata GoF'!O121*'Tillegg- Inndata GoF'!Q121+'Tillegg- Inndata GoF'!S121*'Tillegg- Inndata GoF'!U121)))</f>
        <v>0</v>
      </c>
      <c r="V123" s="335">
        <f>IF('Tillegg- Inndata GoF'!G121 = 0, 0,  MAX(-SUM(F123:J123,L123)*'Tillegg- Inndata GoF'!L121, -0.114*IF('Tillegg- Inndata GoF'!H121 &gt; 49, _xlfn.XLOOKUP(49, År_etter_ferdigstillelse, karbon_opptak_faktor), _xlfn.XLOOKUP('Tillegg- Inndata GoF'!H121, År_etter_ferdigstillelse, karbon_opptak_faktor))*'Tillegg- Inndata GoF'!G121*'Tillegg- Inndata GoF'!L121*0.5))</f>
        <v>0</v>
      </c>
      <c r="W123" s="333">
        <f>IF('Tillegg- Inndata GoF'!G121=0,0,IF('Tillegg- Inndata GoF'!H121&gt;49,-0.064*'Tillegg- Inndata GoF'!G121*'Tillegg- Inndata GoF'!N121,-0.037*'Tillegg- Inndata GoF'!J121*'Tillegg- Inndata GoF'!N121))</f>
        <v>0</v>
      </c>
      <c r="X123" s="331" cm="1">
        <f t="array" ref="X123">IF(SUM(F123:J123,L123)=0, 0, SUM(F123:J123,L123)*(1+'Tillegg-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Y123" s="330" cm="1">
        <f t="array" ref="Y123">IF(X123=0, 0, SUM(K123,M123)*(1+'Tillegg-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Z123" s="336" cm="1">
        <f t="array" ref="Z123">IF(X123=0, 0, SUM(N123:P123)*(1+'Tillegg-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AA123" s="336" cm="1">
        <f t="array" ref="AA123">IF(X123=0, 0, ('Tillegg- Inndata GoF'!G121+'Tillegg- Inndata GoF'!O121+'Tillegg- Inndata GoF'!S121)*(1+'Tillegg- Inndata GoF'!K121)*Transport_utslipp_til_avfallshånderting_per_kg*IF('Tillegg- Inndata GoF'!H121&gt;50, 0, _xlfn.XLOOKUP('Tillegg- Inndata GoF'!H121, År_etter_ferdigstillelse, IF(VALUE(LEFT('Tillegg- Inndata GoF'!B121, 2))= 49, f_tid_x_f_tek_d_0_037_kumulativ, f_tid_x_f_tek_d_0_01_kumulativ))))</f>
        <v>0</v>
      </c>
      <c r="AB123" s="334" cm="1">
        <f t="array" ref="AB123">IF(X123=0, 0,1.833*'Tillegg- Inndata GoF'!J121*('Tillegg- Inndata GoF'!X121*_xlfn.XLOOKUP(IF('Tillegg- Inndata GoF'!I121&lt;2,'Tillegg- Inndata GoF'!H121,'Tillegg- Inndata GoF'!H121*2), År_etter_ferdigstillelse, Faktorer!$Z$7:$Z$58))*('Tillegg- Inndata GoF'!L121*0.5+'Tillegg- Inndata GoF'!M121*0.8)*_xlfn.XLOOKUP(IF('Tillegg- Inndata GoF'!I121&lt;2,'Tillegg- Inndata GoF'!H121,'Tillegg- Inndata GoF'!H121*2), År_etter_ferdigstillelse,  IF(LEFT('Tillegg- Inndata GoF'!B121, 2)= 49, f_tid_x_f_tek_d_0_037, f_tid_x_f_tek_d_0_01)))</f>
        <v>0</v>
      </c>
      <c r="AC123" s="335">
        <f>IF(('Tillegg- Inndata GoF'!G121) = 0, 0,(('Tillegg- Inndata GoF'!G121)*((AG123+AI123)*Transport_utslipp_til_avfallshånderting_per_kg)+('Tillegg- Inndata GoF'!Z121*'ZERO-B Beregning'!D223)*IF('ZERO-B Beregning'!F224=0,'ZERO-B Beregning'!D224,'ZERO-B Beregning'!F224))*_xlfn.XLOOKUP(51, År_etter_ferdigstillelse, f_tid_x_f_tek_d_0_01))</f>
        <v>0</v>
      </c>
      <c r="AD123" s="337">
        <f>IF(('Tillegg- Inndata GoF'!G121) = 0, 0,1.833*('Tillegg- Inndata GoF'!G121*('Tillegg- Inndata GoF'!L121*0.5+'Tillegg- Inndata GoF'!M121*0.8)*AG123*_xlfn.XLOOKUP(51, År_etter_ferdigstillelse,  f_tid_x_f_tek_d_0_01)))</f>
        <v>0</v>
      </c>
      <c r="AE123" s="333" cm="1">
        <f t="array" ref="AE123">IF(('Tillegg- Inndata GoF'!G121) = 0, 0,-0.8*('Tillegg- Inndata GoF'!G121)*AH123*('Tillegg- Inndata GoF'!E121/'Tillegg- Inndata GoF'!G121)*_xlfn.XLOOKUP(51, År_etter_ferdigstillelse,  IF(LEFT('Tillegg- Inndata GoF'!B121, 2)= 49, f_tid_x_f_tek_d_0_037, f_tid_x_f_tek_d_0_01)))</f>
        <v>0</v>
      </c>
      <c r="AF123" s="338" cm="1">
        <f t="array" ref="AF123">IF(('Tillegg- Inndata GoF'!G121) = 0, 0,-0.1*('Tillegg- Inndata GoF'!G121)*AI123*('Tillegg- Inndata GoF'!E121/'Tillegg- Inndata GoF'!G121)*_xlfn.XLOOKUP(51, År_etter_ferdigstillelse,  IF(LEFT('Tillegg- Inndata GoF'!B121, 2)= 49, f_tid_x_f_tek_d_0_037, f_tid_x_f_tek_d_0_01)))</f>
        <v>0</v>
      </c>
      <c r="AG123" s="572">
        <f>IF(('Tillegg- Inndata GoF'!G121) = 0, 0,'Tillegg- Inndata GoF'!X121*Faktorer!$Z$58)</f>
        <v>0</v>
      </c>
      <c r="AH123" s="573">
        <f>IF(('Tillegg- Inndata GoF'!G121) = 0, 0,'Tillegg- Inndata GoF'!Z121+('Tillegg- Inndata GoF'!X121+'Tillegg- Inndata GoF'!Y121)*(1-Faktorer!$Z$58)*0.5)</f>
        <v>0</v>
      </c>
      <c r="AI123" s="574">
        <f>IF(('Tillegg- Inndata GoF'!G121) = 0, 0,'Tillegg- Inndata GoF'!AA121+('Tillegg- Inndata GoF'!X121+'Tillegg- Inndata GoF'!Y121)*(1-Faktorer!$Z$58)*0.5)</f>
        <v>0</v>
      </c>
      <c r="AK123" s="90">
        <f t="shared" si="2"/>
        <v>0</v>
      </c>
      <c r="AL123" s="91">
        <f>'Tillegg- Res. detaljert GoF'!N123</f>
        <v>0</v>
      </c>
      <c r="AM123" s="91" t="str">
        <f>IF(F123=0,"",('Tillegg- Inndata GoF'!E123+'Tillegg- Inndata GoF'!F123)*ROUNDDOWN('Tillegg- Inndata GoF'!I123,0)*(1+'Tillegg- Inndata GoF'!K123))</f>
        <v/>
      </c>
    </row>
    <row r="124" spans="2:39">
      <c r="B124" s="327">
        <f>'Tillegg- Inndata GoF'!B122</f>
        <v>0</v>
      </c>
      <c r="C124" s="328">
        <f>'Tillegg- Inndata GoF'!C122</f>
        <v>0</v>
      </c>
      <c r="D124" s="329">
        <f>'Tillegg- Inndata GoF'!D122</f>
        <v>0</v>
      </c>
      <c r="E124" s="661" cm="1">
        <f t="array" ref="E124">SUM(IFERROR(F124:AF124,0))</f>
        <v>0</v>
      </c>
      <c r="F124" s="330">
        <f>'Tillegg- Inndata GoF'!E122</f>
        <v>0</v>
      </c>
      <c r="G124" s="330">
        <f>IF('Tillegg- Inndata GoF'!AB122="Ja", -0.8*'Tillegg- Res. detaljert GoF'!$F124, 0)</f>
        <v>0</v>
      </c>
      <c r="H124" s="330">
        <f>IF('Tillegg- Inndata GoF'!AC122="Ja", -0.4*'Tillegg- Res. detaljert GoF'!$F124, 0)</f>
        <v>0</v>
      </c>
      <c r="I124" s="330">
        <f>IF('Tillegg- Inndata GoF'!AD122="Ja", -1*'Tillegg- Res. detaljert GoF'!$F124, 0)</f>
        <v>0</v>
      </c>
      <c r="J124" s="330">
        <f>'Tillegg- Inndata GoF'!O122*'Tillegg- Inndata GoF'!P122</f>
        <v>0</v>
      </c>
      <c r="K124" s="330">
        <f>MAX(-0.75*(SUM('Tillegg- Res. detaljert GoF'!F124:J124)),-'Tillegg- Inndata GoF'!O122*'Tillegg- Inndata GoF'!Q122)</f>
        <v>0</v>
      </c>
      <c r="L124" s="330">
        <f>'Tillegg- Inndata GoF'!S122*'Tillegg- Inndata GoF'!T122</f>
        <v>0</v>
      </c>
      <c r="M124" s="330">
        <f>MAX(-0.75*(SUM('Tillegg- Res. detaljert GoF'!F124:I124,L124)),-'Tillegg- Inndata GoF'!S122*'Tillegg- Inndata GoF'!U122)</f>
        <v>0</v>
      </c>
      <c r="N124" s="331">
        <f>'Tillegg- Inndata GoF'!F122</f>
        <v>0</v>
      </c>
      <c r="O124" s="330">
        <f>'Tillegg- Inndata GoF'!O122*'Tillegg- Inndata GoF'!R122</f>
        <v>0</v>
      </c>
      <c r="P124" s="332">
        <f>'Tillegg- Inndata GoF'!S122*'Tillegg- Inndata GoF'!V122</f>
        <v>0</v>
      </c>
      <c r="Q124" s="333">
        <f>SUM(F124:J124,L124)*'Tillegg- Inndata GoF'!K122</f>
        <v>0</v>
      </c>
      <c r="R124" s="333">
        <f>(K124+M124)*'Tillegg- Inndata GoF'!K122</f>
        <v>0</v>
      </c>
      <c r="S124" s="333">
        <f>SUM(N124:P124)*'Tillegg- Inndata GoF'!K122</f>
        <v>0</v>
      </c>
      <c r="T124" s="334">
        <f>('Tillegg- Inndata GoF'!G122+'Tillegg- Inndata GoF'!O122+'Tillegg- Inndata GoF'!S122)*'Tillegg- Inndata GoF'!K122*Transport_utslipp_til_avfallshånderting_per_kg</f>
        <v>0</v>
      </c>
      <c r="U124" s="330">
        <f>IF('Tillegg- Inndata GoF'!E122 = 0, 0, 1.833*'Tillegg- Inndata GoF'!X122*'Tillegg- Inndata GoF'!K122*('Tillegg- Inndata GoF'!G122*('Tillegg- Inndata GoF'!L122*0.5+'Tillegg- Inndata GoF'!M122*0.8) + (12/44)*('Tillegg- Inndata GoF'!O122*'Tillegg- Inndata GoF'!Q122+'Tillegg- Inndata GoF'!S122*'Tillegg- Inndata GoF'!U122)))</f>
        <v>0</v>
      </c>
      <c r="V124" s="335">
        <f>IF('Tillegg- Inndata GoF'!G122 = 0, 0,  MAX(-SUM(F124:J124,L124)*'Tillegg- Inndata GoF'!L122, -0.114*IF('Tillegg- Inndata GoF'!H122 &gt; 49, _xlfn.XLOOKUP(49, År_etter_ferdigstillelse, karbon_opptak_faktor), _xlfn.XLOOKUP('Tillegg- Inndata GoF'!H122, År_etter_ferdigstillelse, karbon_opptak_faktor))*'Tillegg- Inndata GoF'!G122*'Tillegg- Inndata GoF'!L122*0.5))</f>
        <v>0</v>
      </c>
      <c r="W124" s="333">
        <f>IF('Tillegg- Inndata GoF'!G122=0,0,IF('Tillegg- Inndata GoF'!H122&gt;49,-0.064*'Tillegg- Inndata GoF'!G122*'Tillegg- Inndata GoF'!N122,-0.037*'Tillegg- Inndata GoF'!J122*'Tillegg- Inndata GoF'!N122))</f>
        <v>0</v>
      </c>
      <c r="X124" s="331" cm="1">
        <f t="array" ref="X124">IF(SUM(F124:J124,L124)=0, 0, SUM(F124:J124,L124)*(1+'Tillegg-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Y124" s="330" cm="1">
        <f t="array" ref="Y124">IF(X124=0, 0, SUM(K124,M124)*(1+'Tillegg-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Z124" s="336" cm="1">
        <f t="array" ref="Z124">IF(X124=0, 0, SUM(N124:P124)*(1+'Tillegg-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AA124" s="336" cm="1">
        <f t="array" ref="AA124">IF(X124=0, 0, ('Tillegg- Inndata GoF'!G122+'Tillegg- Inndata GoF'!O122+'Tillegg- Inndata GoF'!S122)*(1+'Tillegg- Inndata GoF'!K122)*Transport_utslipp_til_avfallshånderting_per_kg*IF('Tillegg- Inndata GoF'!H122&gt;50, 0, _xlfn.XLOOKUP('Tillegg- Inndata GoF'!H122, År_etter_ferdigstillelse, IF(VALUE(LEFT('Tillegg- Inndata GoF'!B122, 2))= 49, f_tid_x_f_tek_d_0_037_kumulativ, f_tid_x_f_tek_d_0_01_kumulativ))))</f>
        <v>0</v>
      </c>
      <c r="AB124" s="334" cm="1">
        <f t="array" ref="AB124">IF(X124=0, 0,1.833*'Tillegg- Inndata GoF'!J122*('Tillegg- Inndata GoF'!X122*_xlfn.XLOOKUP(IF('Tillegg- Inndata GoF'!I122&lt;2,'Tillegg- Inndata GoF'!H122,'Tillegg- Inndata GoF'!H122*2), År_etter_ferdigstillelse, Faktorer!$Z$7:$Z$58))*('Tillegg- Inndata GoF'!L122*0.5+'Tillegg- Inndata GoF'!M122*0.8)*_xlfn.XLOOKUP(IF('Tillegg- Inndata GoF'!I122&lt;2,'Tillegg- Inndata GoF'!H122,'Tillegg- Inndata GoF'!H122*2), År_etter_ferdigstillelse,  IF(LEFT('Tillegg- Inndata GoF'!B122, 2)= 49, f_tid_x_f_tek_d_0_037, f_tid_x_f_tek_d_0_01)))</f>
        <v>0</v>
      </c>
      <c r="AC124" s="335">
        <f>IF(('Tillegg- Inndata GoF'!G122) = 0, 0,(('Tillegg- Inndata GoF'!G122)*((AG124+AI124)*Transport_utslipp_til_avfallshånderting_per_kg)+('Tillegg- Inndata GoF'!Z122*'ZERO-B Beregning'!D224)*IF('ZERO-B Beregning'!F225=0,'ZERO-B Beregning'!D225,'ZERO-B Beregning'!F225))*_xlfn.XLOOKUP(51, År_etter_ferdigstillelse, f_tid_x_f_tek_d_0_01))</f>
        <v>0</v>
      </c>
      <c r="AD124" s="337">
        <f>IF(('Tillegg- Inndata GoF'!G122) = 0, 0,1.833*('Tillegg- Inndata GoF'!G122*('Tillegg- Inndata GoF'!L122*0.5+'Tillegg- Inndata GoF'!M122*0.8)*AG124*_xlfn.XLOOKUP(51, År_etter_ferdigstillelse,  f_tid_x_f_tek_d_0_01)))</f>
        <v>0</v>
      </c>
      <c r="AE124" s="333" cm="1">
        <f t="array" ref="AE124">IF(('Tillegg- Inndata GoF'!G122) = 0, 0,-0.8*('Tillegg- Inndata GoF'!G122)*AH124*('Tillegg- Inndata GoF'!E122/'Tillegg- Inndata GoF'!G122)*_xlfn.XLOOKUP(51, År_etter_ferdigstillelse,  IF(LEFT('Tillegg- Inndata GoF'!B122, 2)= 49, f_tid_x_f_tek_d_0_037, f_tid_x_f_tek_d_0_01)))</f>
        <v>0</v>
      </c>
      <c r="AF124" s="338" cm="1">
        <f t="array" ref="AF124">IF(('Tillegg- Inndata GoF'!G122) = 0, 0,-0.1*('Tillegg- Inndata GoF'!G122)*AI124*('Tillegg- Inndata GoF'!E122/'Tillegg- Inndata GoF'!G122)*_xlfn.XLOOKUP(51, År_etter_ferdigstillelse,  IF(LEFT('Tillegg- Inndata GoF'!B122, 2)= 49, f_tid_x_f_tek_d_0_037, f_tid_x_f_tek_d_0_01)))</f>
        <v>0</v>
      </c>
      <c r="AG124" s="572">
        <f>IF(('Tillegg- Inndata GoF'!G122) = 0, 0,'Tillegg- Inndata GoF'!X122*Faktorer!$Z$58)</f>
        <v>0</v>
      </c>
      <c r="AH124" s="573">
        <f>IF(('Tillegg- Inndata GoF'!G122) = 0, 0,'Tillegg- Inndata GoF'!Z122+('Tillegg- Inndata GoF'!X122+'Tillegg- Inndata GoF'!Y122)*(1-Faktorer!$Z$58)*0.5)</f>
        <v>0</v>
      </c>
      <c r="AI124" s="574">
        <f>IF(('Tillegg- Inndata GoF'!G122) = 0, 0,'Tillegg- Inndata GoF'!AA122+('Tillegg- Inndata GoF'!X122+'Tillegg- Inndata GoF'!Y122)*(1-Faktorer!$Z$58)*0.5)</f>
        <v>0</v>
      </c>
      <c r="AK124" s="90">
        <f t="shared" si="2"/>
        <v>0</v>
      </c>
      <c r="AL124" s="91">
        <f>'Tillegg- Res. detaljert GoF'!N124</f>
        <v>0</v>
      </c>
      <c r="AM124" s="91" t="str">
        <f>IF(F124=0,"",('Tillegg- Inndata GoF'!E124+'Tillegg- Inndata GoF'!F124)*ROUNDDOWN('Tillegg- Inndata GoF'!I124,0)*(1+'Tillegg- Inndata GoF'!K124))</f>
        <v/>
      </c>
    </row>
    <row r="125" spans="2:39">
      <c r="B125" s="327">
        <f>'Tillegg- Inndata GoF'!B123</f>
        <v>0</v>
      </c>
      <c r="C125" s="328">
        <f>'Tillegg- Inndata GoF'!C123</f>
        <v>0</v>
      </c>
      <c r="D125" s="329">
        <f>'Tillegg- Inndata GoF'!D123</f>
        <v>0</v>
      </c>
      <c r="E125" s="661" cm="1">
        <f t="array" ref="E125">SUM(IFERROR(F125:AF125,0))</f>
        <v>0</v>
      </c>
      <c r="F125" s="330">
        <f>'Tillegg- Inndata GoF'!E123</f>
        <v>0</v>
      </c>
      <c r="G125" s="330">
        <f>IF('Tillegg- Inndata GoF'!AB123="Ja", -0.8*'Tillegg- Res. detaljert GoF'!$F125, 0)</f>
        <v>0</v>
      </c>
      <c r="H125" s="330">
        <f>IF('Tillegg- Inndata GoF'!AC123="Ja", -0.4*'Tillegg- Res. detaljert GoF'!$F125, 0)</f>
        <v>0</v>
      </c>
      <c r="I125" s="330">
        <f>IF('Tillegg- Inndata GoF'!AD123="Ja", -1*'Tillegg- Res. detaljert GoF'!$F125, 0)</f>
        <v>0</v>
      </c>
      <c r="J125" s="330">
        <f>'Tillegg- Inndata GoF'!O123*'Tillegg- Inndata GoF'!P123</f>
        <v>0</v>
      </c>
      <c r="K125" s="330">
        <f>MAX(-0.75*(SUM('Tillegg- Res. detaljert GoF'!F125:J125)),-'Tillegg- Inndata GoF'!O123*'Tillegg- Inndata GoF'!Q123)</f>
        <v>0</v>
      </c>
      <c r="L125" s="330">
        <f>'Tillegg- Inndata GoF'!S123*'Tillegg- Inndata GoF'!T123</f>
        <v>0</v>
      </c>
      <c r="M125" s="330">
        <f>MAX(-0.75*(SUM('Tillegg- Res. detaljert GoF'!F125:I125,L125)),-'Tillegg- Inndata GoF'!S123*'Tillegg- Inndata GoF'!U123)</f>
        <v>0</v>
      </c>
      <c r="N125" s="331">
        <f>'Tillegg- Inndata GoF'!F123</f>
        <v>0</v>
      </c>
      <c r="O125" s="330">
        <f>'Tillegg- Inndata GoF'!O123*'Tillegg- Inndata GoF'!R123</f>
        <v>0</v>
      </c>
      <c r="P125" s="332">
        <f>'Tillegg- Inndata GoF'!S123*'Tillegg- Inndata GoF'!V123</f>
        <v>0</v>
      </c>
      <c r="Q125" s="333">
        <f>SUM(F125:J125,L125)*'Tillegg- Inndata GoF'!K123</f>
        <v>0</v>
      </c>
      <c r="R125" s="333">
        <f>(K125+M125)*'Tillegg- Inndata GoF'!K123</f>
        <v>0</v>
      </c>
      <c r="S125" s="333">
        <f>SUM(N125:P125)*'Tillegg- Inndata GoF'!K123</f>
        <v>0</v>
      </c>
      <c r="T125" s="334">
        <f>('Tillegg- Inndata GoF'!G123+'Tillegg- Inndata GoF'!O123+'Tillegg- Inndata GoF'!S123)*'Tillegg- Inndata GoF'!K123*Transport_utslipp_til_avfallshånderting_per_kg</f>
        <v>0</v>
      </c>
      <c r="U125" s="330">
        <f>IF('Tillegg- Inndata GoF'!E123 = 0, 0, 1.833*'Tillegg- Inndata GoF'!X123*'Tillegg- Inndata GoF'!K123*('Tillegg- Inndata GoF'!G123*('Tillegg- Inndata GoF'!L123*0.5+'Tillegg- Inndata GoF'!M123*0.8) + (12/44)*('Tillegg- Inndata GoF'!O123*'Tillegg- Inndata GoF'!Q123+'Tillegg- Inndata GoF'!S123*'Tillegg- Inndata GoF'!U123)))</f>
        <v>0</v>
      </c>
      <c r="V125" s="335">
        <f>IF('Tillegg- Inndata GoF'!G123 = 0, 0,  MAX(-SUM(F125:J125,L125)*'Tillegg- Inndata GoF'!L123, -0.114*IF('Tillegg- Inndata GoF'!H123 &gt; 49, _xlfn.XLOOKUP(49, År_etter_ferdigstillelse, karbon_opptak_faktor), _xlfn.XLOOKUP('Tillegg- Inndata GoF'!H123, År_etter_ferdigstillelse, karbon_opptak_faktor))*'Tillegg- Inndata GoF'!G123*'Tillegg- Inndata GoF'!L123*0.5))</f>
        <v>0</v>
      </c>
      <c r="W125" s="333">
        <f>IF('Tillegg- Inndata GoF'!G123=0,0,IF('Tillegg- Inndata GoF'!H123&gt;49,-0.064*'Tillegg- Inndata GoF'!G123*'Tillegg- Inndata GoF'!N123,-0.037*'Tillegg- Inndata GoF'!J123*'Tillegg- Inndata GoF'!N123))</f>
        <v>0</v>
      </c>
      <c r="X125" s="331" cm="1">
        <f t="array" ref="X125">IF(SUM(F125:J125,L125)=0, 0, SUM(F125:J125,L125)*(1+'Tillegg-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Y125" s="330" cm="1">
        <f t="array" ref="Y125">IF(X125=0, 0, SUM(K125,M125)*(1+'Tillegg-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Z125" s="336" cm="1">
        <f t="array" ref="Z125">IF(X125=0, 0, SUM(N125:P125)*(1+'Tillegg-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AA125" s="336" cm="1">
        <f t="array" ref="AA125">IF(X125=0, 0, ('Tillegg- Inndata GoF'!G123+'Tillegg- Inndata GoF'!O123+'Tillegg- Inndata GoF'!S123)*(1+'Tillegg- Inndata GoF'!K123)*Transport_utslipp_til_avfallshånderting_per_kg*IF('Tillegg- Inndata GoF'!H123&gt;50, 0, _xlfn.XLOOKUP('Tillegg- Inndata GoF'!H123, År_etter_ferdigstillelse, IF(VALUE(LEFT('Tillegg- Inndata GoF'!B123, 2))= 49, f_tid_x_f_tek_d_0_037_kumulativ, f_tid_x_f_tek_d_0_01_kumulativ))))</f>
        <v>0</v>
      </c>
      <c r="AB125" s="334" cm="1">
        <f t="array" ref="AB125">IF(X125=0, 0,1.833*'Tillegg- Inndata GoF'!J123*('Tillegg- Inndata GoF'!X123*_xlfn.XLOOKUP(IF('Tillegg- Inndata GoF'!I123&lt;2,'Tillegg- Inndata GoF'!H123,'Tillegg- Inndata GoF'!H123*2), År_etter_ferdigstillelse, Faktorer!$Z$7:$Z$58))*('Tillegg- Inndata GoF'!L123*0.5+'Tillegg- Inndata GoF'!M123*0.8)*_xlfn.XLOOKUP(IF('Tillegg- Inndata GoF'!I123&lt;2,'Tillegg- Inndata GoF'!H123,'Tillegg- Inndata GoF'!H123*2), År_etter_ferdigstillelse,  IF(LEFT('Tillegg- Inndata GoF'!B123, 2)= 49, f_tid_x_f_tek_d_0_037, f_tid_x_f_tek_d_0_01)))</f>
        <v>0</v>
      </c>
      <c r="AC125" s="335">
        <f>IF(('Tillegg- Inndata GoF'!G123) = 0, 0,(('Tillegg- Inndata GoF'!G123)*((AG125+AI125)*Transport_utslipp_til_avfallshånderting_per_kg)+('Tillegg- Inndata GoF'!Z123*'ZERO-B Beregning'!D225)*IF('ZERO-B Beregning'!F226=0,'ZERO-B Beregning'!D226,'ZERO-B Beregning'!F226))*_xlfn.XLOOKUP(51, År_etter_ferdigstillelse, f_tid_x_f_tek_d_0_01))</f>
        <v>0</v>
      </c>
      <c r="AD125" s="337">
        <f>IF(('Tillegg- Inndata GoF'!G123) = 0, 0,1.833*('Tillegg- Inndata GoF'!G123*('Tillegg- Inndata GoF'!L123*0.5+'Tillegg- Inndata GoF'!M123*0.8)*AG125*_xlfn.XLOOKUP(51, År_etter_ferdigstillelse,  f_tid_x_f_tek_d_0_01)))</f>
        <v>0</v>
      </c>
      <c r="AE125" s="333" cm="1">
        <f t="array" ref="AE125">IF(('Tillegg- Inndata GoF'!G123) = 0, 0,-0.8*('Tillegg- Inndata GoF'!G123)*AH125*('Tillegg- Inndata GoF'!E123/'Tillegg- Inndata GoF'!G123)*_xlfn.XLOOKUP(51, År_etter_ferdigstillelse,  IF(LEFT('Tillegg- Inndata GoF'!B123, 2)= 49, f_tid_x_f_tek_d_0_037, f_tid_x_f_tek_d_0_01)))</f>
        <v>0</v>
      </c>
      <c r="AF125" s="338" cm="1">
        <f t="array" ref="AF125">IF(('Tillegg- Inndata GoF'!G123) = 0, 0,-0.1*('Tillegg- Inndata GoF'!G123)*AI125*('Tillegg- Inndata GoF'!E123/'Tillegg- Inndata GoF'!G123)*_xlfn.XLOOKUP(51, År_etter_ferdigstillelse,  IF(LEFT('Tillegg- Inndata GoF'!B123, 2)= 49, f_tid_x_f_tek_d_0_037, f_tid_x_f_tek_d_0_01)))</f>
        <v>0</v>
      </c>
      <c r="AG125" s="572">
        <f>IF(('Tillegg- Inndata GoF'!G123) = 0, 0,'Tillegg- Inndata GoF'!X123*Faktorer!$Z$58)</f>
        <v>0</v>
      </c>
      <c r="AH125" s="573">
        <f>IF(('Tillegg- Inndata GoF'!G123) = 0, 0,'Tillegg- Inndata GoF'!Z123+('Tillegg- Inndata GoF'!X123+'Tillegg- Inndata GoF'!Y123)*(1-Faktorer!$Z$58)*0.5)</f>
        <v>0</v>
      </c>
      <c r="AI125" s="574">
        <f>IF(('Tillegg- Inndata GoF'!G123) = 0, 0,'Tillegg- Inndata GoF'!AA123+('Tillegg- Inndata GoF'!X123+'Tillegg- Inndata GoF'!Y123)*(1-Faktorer!$Z$58)*0.5)</f>
        <v>0</v>
      </c>
      <c r="AK125" s="90">
        <f t="shared" si="2"/>
        <v>0</v>
      </c>
      <c r="AL125" s="91">
        <f>'Tillegg- Res. detaljert GoF'!N125</f>
        <v>0</v>
      </c>
      <c r="AM125" s="91" t="str">
        <f>IF(F125=0,"",('Tillegg- Inndata GoF'!E125+'Tillegg- Inndata GoF'!F125)*ROUNDDOWN('Tillegg- Inndata GoF'!I125,0)*(1+'Tillegg- Inndata GoF'!K125))</f>
        <v/>
      </c>
    </row>
    <row r="126" spans="2:39">
      <c r="B126" s="327">
        <f>'Tillegg- Inndata GoF'!B124</f>
        <v>0</v>
      </c>
      <c r="C126" s="328">
        <f>'Tillegg- Inndata GoF'!C124</f>
        <v>0</v>
      </c>
      <c r="D126" s="329">
        <f>'Tillegg- Inndata GoF'!D124</f>
        <v>0</v>
      </c>
      <c r="E126" s="661" cm="1">
        <f t="array" ref="E126">SUM(IFERROR(F126:AF126,0))</f>
        <v>0</v>
      </c>
      <c r="F126" s="330">
        <f>'Tillegg- Inndata GoF'!E124</f>
        <v>0</v>
      </c>
      <c r="G126" s="330">
        <f>IF('Tillegg- Inndata GoF'!AB124="Ja", -0.8*'Tillegg- Res. detaljert GoF'!$F126, 0)</f>
        <v>0</v>
      </c>
      <c r="H126" s="330">
        <f>IF('Tillegg- Inndata GoF'!AC124="Ja", -0.4*'Tillegg- Res. detaljert GoF'!$F126, 0)</f>
        <v>0</v>
      </c>
      <c r="I126" s="330">
        <f>IF('Tillegg- Inndata GoF'!AD124="Ja", -1*'Tillegg- Res. detaljert GoF'!$F126, 0)</f>
        <v>0</v>
      </c>
      <c r="J126" s="330">
        <f>'Tillegg- Inndata GoF'!O124*'Tillegg- Inndata GoF'!P124</f>
        <v>0</v>
      </c>
      <c r="K126" s="330">
        <f>MAX(-0.75*(SUM('Tillegg- Res. detaljert GoF'!F126:J126)),-'Tillegg- Inndata GoF'!O124*'Tillegg- Inndata GoF'!Q124)</f>
        <v>0</v>
      </c>
      <c r="L126" s="330">
        <f>'Tillegg- Inndata GoF'!S124*'Tillegg- Inndata GoF'!T124</f>
        <v>0</v>
      </c>
      <c r="M126" s="330">
        <f>MAX(-0.75*(SUM('Tillegg- Res. detaljert GoF'!F126:I126,L126)),-'Tillegg- Inndata GoF'!S124*'Tillegg- Inndata GoF'!U124)</f>
        <v>0</v>
      </c>
      <c r="N126" s="331">
        <f>'Tillegg- Inndata GoF'!F124</f>
        <v>0</v>
      </c>
      <c r="O126" s="330">
        <f>'Tillegg- Inndata GoF'!O124*'Tillegg- Inndata GoF'!R124</f>
        <v>0</v>
      </c>
      <c r="P126" s="332">
        <f>'Tillegg- Inndata GoF'!S124*'Tillegg- Inndata GoF'!V124</f>
        <v>0</v>
      </c>
      <c r="Q126" s="333">
        <f>SUM(F126:J126,L126)*'Tillegg- Inndata GoF'!K124</f>
        <v>0</v>
      </c>
      <c r="R126" s="333">
        <f>(K126+M126)*'Tillegg- Inndata GoF'!K124</f>
        <v>0</v>
      </c>
      <c r="S126" s="333">
        <f>SUM(N126:P126)*'Tillegg- Inndata GoF'!K124</f>
        <v>0</v>
      </c>
      <c r="T126" s="334">
        <f>('Tillegg- Inndata GoF'!G124+'Tillegg- Inndata GoF'!O124+'Tillegg- Inndata GoF'!S124)*'Tillegg- Inndata GoF'!K124*Transport_utslipp_til_avfallshånderting_per_kg</f>
        <v>0</v>
      </c>
      <c r="U126" s="330">
        <f>IF('Tillegg- Inndata GoF'!E124 = 0, 0, 1.833*'Tillegg- Inndata GoF'!X124*'Tillegg- Inndata GoF'!K124*('Tillegg- Inndata GoF'!G124*('Tillegg- Inndata GoF'!L124*0.5+'Tillegg- Inndata GoF'!M124*0.8) + (12/44)*('Tillegg- Inndata GoF'!O124*'Tillegg- Inndata GoF'!Q124+'Tillegg- Inndata GoF'!S124*'Tillegg- Inndata GoF'!U124)))</f>
        <v>0</v>
      </c>
      <c r="V126" s="335">
        <f>IF('Tillegg- Inndata GoF'!G124 = 0, 0,  MAX(-SUM(F126:J126,L126)*'Tillegg- Inndata GoF'!L124, -0.114*IF('Tillegg- Inndata GoF'!H124 &gt; 49, _xlfn.XLOOKUP(49, År_etter_ferdigstillelse, karbon_opptak_faktor), _xlfn.XLOOKUP('Tillegg- Inndata GoF'!H124, År_etter_ferdigstillelse, karbon_opptak_faktor))*'Tillegg- Inndata GoF'!G124*'Tillegg- Inndata GoF'!L124*0.5))</f>
        <v>0</v>
      </c>
      <c r="W126" s="333">
        <f>IF('Tillegg- Inndata GoF'!G124=0,0,IF('Tillegg- Inndata GoF'!H124&gt;49,-0.064*'Tillegg- Inndata GoF'!G124*'Tillegg- Inndata GoF'!N124,-0.037*'Tillegg- Inndata GoF'!J124*'Tillegg- Inndata GoF'!N124))</f>
        <v>0</v>
      </c>
      <c r="X126" s="331" cm="1">
        <f t="array" ref="X126">IF(SUM(F126:J126,L126)=0, 0, SUM(F126:J126,L126)*(1+'Tillegg-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Y126" s="330" cm="1">
        <f t="array" ref="Y126">IF(X126=0, 0, SUM(K126,M126)*(1+'Tillegg-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Z126" s="336" cm="1">
        <f t="array" ref="Z126">IF(X126=0, 0, SUM(N126:P126)*(1+'Tillegg-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AA126" s="336" cm="1">
        <f t="array" ref="AA126">IF(X126=0, 0, ('Tillegg- Inndata GoF'!G124+'Tillegg- Inndata GoF'!O124+'Tillegg- Inndata GoF'!S124)*(1+'Tillegg- Inndata GoF'!K124)*Transport_utslipp_til_avfallshånderting_per_kg*IF('Tillegg- Inndata GoF'!H124&gt;50, 0, _xlfn.XLOOKUP('Tillegg- Inndata GoF'!H124, År_etter_ferdigstillelse, IF(VALUE(LEFT('Tillegg- Inndata GoF'!B124, 2))= 49, f_tid_x_f_tek_d_0_037_kumulativ, f_tid_x_f_tek_d_0_01_kumulativ))))</f>
        <v>0</v>
      </c>
      <c r="AB126" s="334" cm="1">
        <f t="array" ref="AB126">IF(X126=0, 0,1.833*'Tillegg- Inndata GoF'!J124*('Tillegg- Inndata GoF'!X124*_xlfn.XLOOKUP(IF('Tillegg- Inndata GoF'!I124&lt;2,'Tillegg- Inndata GoF'!H124,'Tillegg- Inndata GoF'!H124*2), År_etter_ferdigstillelse, Faktorer!$Z$7:$Z$58))*('Tillegg- Inndata GoF'!L124*0.5+'Tillegg- Inndata GoF'!M124*0.8)*_xlfn.XLOOKUP(IF('Tillegg- Inndata GoF'!I124&lt;2,'Tillegg- Inndata GoF'!H124,'Tillegg- Inndata GoF'!H124*2), År_etter_ferdigstillelse,  IF(LEFT('Tillegg- Inndata GoF'!B124, 2)= 49, f_tid_x_f_tek_d_0_037, f_tid_x_f_tek_d_0_01)))</f>
        <v>0</v>
      </c>
      <c r="AC126" s="335">
        <f>IF(('Tillegg- Inndata GoF'!G124) = 0, 0,(('Tillegg- Inndata GoF'!G124)*((AG126+AI126)*Transport_utslipp_til_avfallshånderting_per_kg)+('Tillegg- Inndata GoF'!Z124*'ZERO-B Beregning'!D226)*IF('ZERO-B Beregning'!F227=0,'ZERO-B Beregning'!D227,'ZERO-B Beregning'!F227))*_xlfn.XLOOKUP(51, År_etter_ferdigstillelse, f_tid_x_f_tek_d_0_01))</f>
        <v>0</v>
      </c>
      <c r="AD126" s="337">
        <f>IF(('Tillegg- Inndata GoF'!G124) = 0, 0,1.833*('Tillegg- Inndata GoF'!G124*('Tillegg- Inndata GoF'!L124*0.5+'Tillegg- Inndata GoF'!M124*0.8)*AG126*_xlfn.XLOOKUP(51, År_etter_ferdigstillelse,  f_tid_x_f_tek_d_0_01)))</f>
        <v>0</v>
      </c>
      <c r="AE126" s="333" cm="1">
        <f t="array" ref="AE126">IF(('Tillegg- Inndata GoF'!G124) = 0, 0,-0.8*('Tillegg- Inndata GoF'!G124)*AH126*('Tillegg- Inndata GoF'!E124/'Tillegg- Inndata GoF'!G124)*_xlfn.XLOOKUP(51, År_etter_ferdigstillelse,  IF(LEFT('Tillegg- Inndata GoF'!B124, 2)= 49, f_tid_x_f_tek_d_0_037, f_tid_x_f_tek_d_0_01)))</f>
        <v>0</v>
      </c>
      <c r="AF126" s="338" cm="1">
        <f t="array" ref="AF126">IF(('Tillegg- Inndata GoF'!G124) = 0, 0,-0.1*('Tillegg- Inndata GoF'!G124)*AI126*('Tillegg- Inndata GoF'!E124/'Tillegg- Inndata GoF'!G124)*_xlfn.XLOOKUP(51, År_etter_ferdigstillelse,  IF(LEFT('Tillegg- Inndata GoF'!B124, 2)= 49, f_tid_x_f_tek_d_0_037, f_tid_x_f_tek_d_0_01)))</f>
        <v>0</v>
      </c>
      <c r="AG126" s="572">
        <f>IF(('Tillegg- Inndata GoF'!G124) = 0, 0,'Tillegg- Inndata GoF'!X124*Faktorer!$Z$58)</f>
        <v>0</v>
      </c>
      <c r="AH126" s="573">
        <f>IF(('Tillegg- Inndata GoF'!G124) = 0, 0,'Tillegg- Inndata GoF'!Z124+('Tillegg- Inndata GoF'!X124+'Tillegg- Inndata GoF'!Y124)*(1-Faktorer!$Z$58)*0.5)</f>
        <v>0</v>
      </c>
      <c r="AI126" s="574">
        <f>IF(('Tillegg- Inndata GoF'!G124) = 0, 0,'Tillegg- Inndata GoF'!AA124+('Tillegg- Inndata GoF'!X124+'Tillegg- Inndata GoF'!Y124)*(1-Faktorer!$Z$58)*0.5)</f>
        <v>0</v>
      </c>
      <c r="AK126" s="90">
        <f t="shared" si="2"/>
        <v>0</v>
      </c>
      <c r="AL126" s="91">
        <f>'Tillegg- Res. detaljert GoF'!N126</f>
        <v>0</v>
      </c>
      <c r="AM126" s="91" t="str">
        <f>IF(F126=0,"",('Tillegg- Inndata GoF'!E126+'Tillegg- Inndata GoF'!F126)*ROUNDDOWN('Tillegg- Inndata GoF'!I126,0)*(1+'Tillegg- Inndata GoF'!K126))</f>
        <v/>
      </c>
    </row>
    <row r="127" spans="2:39">
      <c r="B127" s="327">
        <f>'Tillegg- Inndata GoF'!B125</f>
        <v>0</v>
      </c>
      <c r="C127" s="328">
        <f>'Tillegg- Inndata GoF'!C125</f>
        <v>0</v>
      </c>
      <c r="D127" s="329">
        <f>'Tillegg- Inndata GoF'!D125</f>
        <v>0</v>
      </c>
      <c r="E127" s="661" cm="1">
        <f t="array" ref="E127">SUM(IFERROR(F127:AF127,0))</f>
        <v>0</v>
      </c>
      <c r="F127" s="330">
        <f>'Tillegg- Inndata GoF'!E125</f>
        <v>0</v>
      </c>
      <c r="G127" s="330">
        <f>IF('Tillegg- Inndata GoF'!AB125="Ja", -0.8*'Tillegg- Res. detaljert GoF'!$F127, 0)</f>
        <v>0</v>
      </c>
      <c r="H127" s="330">
        <f>IF('Tillegg- Inndata GoF'!AC125="Ja", -0.4*'Tillegg- Res. detaljert GoF'!$F127, 0)</f>
        <v>0</v>
      </c>
      <c r="I127" s="330">
        <f>IF('Tillegg- Inndata GoF'!AD125="Ja", -1*'Tillegg- Res. detaljert GoF'!$F127, 0)</f>
        <v>0</v>
      </c>
      <c r="J127" s="330">
        <f>'Tillegg- Inndata GoF'!O125*'Tillegg- Inndata GoF'!P125</f>
        <v>0</v>
      </c>
      <c r="K127" s="330">
        <f>MAX(-0.75*(SUM('Tillegg- Res. detaljert GoF'!F127:J127)),-'Tillegg- Inndata GoF'!O125*'Tillegg- Inndata GoF'!Q125)</f>
        <v>0</v>
      </c>
      <c r="L127" s="330">
        <f>'Tillegg- Inndata GoF'!S125*'Tillegg- Inndata GoF'!T125</f>
        <v>0</v>
      </c>
      <c r="M127" s="330">
        <f>MAX(-0.75*(SUM('Tillegg- Res. detaljert GoF'!F127:I127,L127)),-'Tillegg- Inndata GoF'!S125*'Tillegg- Inndata GoF'!U125)</f>
        <v>0</v>
      </c>
      <c r="N127" s="331">
        <f>'Tillegg- Inndata GoF'!F125</f>
        <v>0</v>
      </c>
      <c r="O127" s="330">
        <f>'Tillegg- Inndata GoF'!O125*'Tillegg- Inndata GoF'!R125</f>
        <v>0</v>
      </c>
      <c r="P127" s="332">
        <f>'Tillegg- Inndata GoF'!S125*'Tillegg- Inndata GoF'!V125</f>
        <v>0</v>
      </c>
      <c r="Q127" s="333">
        <f>SUM(F127:J127,L127)*'Tillegg- Inndata GoF'!K125</f>
        <v>0</v>
      </c>
      <c r="R127" s="333">
        <f>(K127+M127)*'Tillegg- Inndata GoF'!K125</f>
        <v>0</v>
      </c>
      <c r="S127" s="333">
        <f>SUM(N127:P127)*'Tillegg- Inndata GoF'!K125</f>
        <v>0</v>
      </c>
      <c r="T127" s="334">
        <f>('Tillegg- Inndata GoF'!G125+'Tillegg- Inndata GoF'!O125+'Tillegg- Inndata GoF'!S125)*'Tillegg- Inndata GoF'!K125*Transport_utslipp_til_avfallshånderting_per_kg</f>
        <v>0</v>
      </c>
      <c r="U127" s="330">
        <f>IF('Tillegg- Inndata GoF'!E125 = 0, 0, 1.833*'Tillegg- Inndata GoF'!X125*'Tillegg- Inndata GoF'!K125*('Tillegg- Inndata GoF'!G125*('Tillegg- Inndata GoF'!L125*0.5+'Tillegg- Inndata GoF'!M125*0.8) + (12/44)*('Tillegg- Inndata GoF'!O125*'Tillegg- Inndata GoF'!Q125+'Tillegg- Inndata GoF'!S125*'Tillegg- Inndata GoF'!U125)))</f>
        <v>0</v>
      </c>
      <c r="V127" s="335">
        <f>IF('Tillegg- Inndata GoF'!G125 = 0, 0,  MAX(-SUM(F127:J127,L127)*'Tillegg- Inndata GoF'!L125, -0.114*IF('Tillegg- Inndata GoF'!H125 &gt; 49, _xlfn.XLOOKUP(49, År_etter_ferdigstillelse, karbon_opptak_faktor), _xlfn.XLOOKUP('Tillegg- Inndata GoF'!H125, År_etter_ferdigstillelse, karbon_opptak_faktor))*'Tillegg- Inndata GoF'!G125*'Tillegg- Inndata GoF'!L125*0.5))</f>
        <v>0</v>
      </c>
      <c r="W127" s="333">
        <f>IF('Tillegg- Inndata GoF'!G125=0,0,IF('Tillegg- Inndata GoF'!H125&gt;49,-0.064*'Tillegg- Inndata GoF'!G125*'Tillegg- Inndata GoF'!N125,-0.037*'Tillegg- Inndata GoF'!J125*'Tillegg- Inndata GoF'!N125))</f>
        <v>0</v>
      </c>
      <c r="X127" s="331" cm="1">
        <f t="array" ref="X127">IF(SUM(F127:J127,L127)=0, 0, SUM(F127:J127,L127)*(1+'Tillegg-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Y127" s="330" cm="1">
        <f t="array" ref="Y127">IF(X127=0, 0, SUM(K127,M127)*(1+'Tillegg-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Z127" s="336" cm="1">
        <f t="array" ref="Z127">IF(X127=0, 0, SUM(N127:P127)*(1+'Tillegg-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AA127" s="336" cm="1">
        <f t="array" ref="AA127">IF(X127=0, 0, ('Tillegg- Inndata GoF'!G125+'Tillegg- Inndata GoF'!O125+'Tillegg- Inndata GoF'!S125)*(1+'Tillegg- Inndata GoF'!K125)*Transport_utslipp_til_avfallshånderting_per_kg*IF('Tillegg- Inndata GoF'!H125&gt;50, 0, _xlfn.XLOOKUP('Tillegg- Inndata GoF'!H125, År_etter_ferdigstillelse, IF(VALUE(LEFT('Tillegg- Inndata GoF'!B125, 2))= 49, f_tid_x_f_tek_d_0_037_kumulativ, f_tid_x_f_tek_d_0_01_kumulativ))))</f>
        <v>0</v>
      </c>
      <c r="AB127" s="334" cm="1">
        <f t="array" ref="AB127">IF(X127=0, 0,1.833*'Tillegg- Inndata GoF'!J125*('Tillegg- Inndata GoF'!X125*_xlfn.XLOOKUP(IF('Tillegg- Inndata GoF'!I125&lt;2,'Tillegg- Inndata GoF'!H125,'Tillegg- Inndata GoF'!H125*2), År_etter_ferdigstillelse, Faktorer!$Z$7:$Z$58))*('Tillegg- Inndata GoF'!L125*0.5+'Tillegg- Inndata GoF'!M125*0.8)*_xlfn.XLOOKUP(IF('Tillegg- Inndata GoF'!I125&lt;2,'Tillegg- Inndata GoF'!H125,'Tillegg- Inndata GoF'!H125*2), År_etter_ferdigstillelse,  IF(LEFT('Tillegg- Inndata GoF'!B125, 2)= 49, f_tid_x_f_tek_d_0_037, f_tid_x_f_tek_d_0_01)))</f>
        <v>0</v>
      </c>
      <c r="AC127" s="335">
        <f>IF(('Tillegg- Inndata GoF'!G125) = 0, 0,(('Tillegg- Inndata GoF'!G125)*((AG127+AI127)*Transport_utslipp_til_avfallshånderting_per_kg)+('Tillegg- Inndata GoF'!Z125*'ZERO-B Beregning'!D227)*IF('ZERO-B Beregning'!F228=0,'ZERO-B Beregning'!D228,'ZERO-B Beregning'!F228))*_xlfn.XLOOKUP(51, År_etter_ferdigstillelse, f_tid_x_f_tek_d_0_01))</f>
        <v>0</v>
      </c>
      <c r="AD127" s="337">
        <f>IF(('Tillegg- Inndata GoF'!G125) = 0, 0,1.833*('Tillegg- Inndata GoF'!G125*('Tillegg- Inndata GoF'!L125*0.5+'Tillegg- Inndata GoF'!M125*0.8)*AG127*_xlfn.XLOOKUP(51, År_etter_ferdigstillelse,  f_tid_x_f_tek_d_0_01)))</f>
        <v>0</v>
      </c>
      <c r="AE127" s="333" cm="1">
        <f t="array" ref="AE127">IF(('Tillegg- Inndata GoF'!G125) = 0, 0,-0.8*('Tillegg- Inndata GoF'!G125)*AH127*('Tillegg- Inndata GoF'!E125/'Tillegg- Inndata GoF'!G125)*_xlfn.XLOOKUP(51, År_etter_ferdigstillelse,  IF(LEFT('Tillegg- Inndata GoF'!B125, 2)= 49, f_tid_x_f_tek_d_0_037, f_tid_x_f_tek_d_0_01)))</f>
        <v>0</v>
      </c>
      <c r="AF127" s="338" cm="1">
        <f t="array" ref="AF127">IF(('Tillegg- Inndata GoF'!G125) = 0, 0,-0.1*('Tillegg- Inndata GoF'!G125)*AI127*('Tillegg- Inndata GoF'!E125/'Tillegg- Inndata GoF'!G125)*_xlfn.XLOOKUP(51, År_etter_ferdigstillelse,  IF(LEFT('Tillegg- Inndata GoF'!B125, 2)= 49, f_tid_x_f_tek_d_0_037, f_tid_x_f_tek_d_0_01)))</f>
        <v>0</v>
      </c>
      <c r="AG127" s="572">
        <f>IF(('Tillegg- Inndata GoF'!G125) = 0, 0,'Tillegg- Inndata GoF'!X125*Faktorer!$Z$58)</f>
        <v>0</v>
      </c>
      <c r="AH127" s="573">
        <f>IF(('Tillegg- Inndata GoF'!G125) = 0, 0,'Tillegg- Inndata GoF'!Z125+('Tillegg- Inndata GoF'!X125+'Tillegg- Inndata GoF'!Y125)*(1-Faktorer!$Z$58)*0.5)</f>
        <v>0</v>
      </c>
      <c r="AI127" s="574">
        <f>IF(('Tillegg- Inndata GoF'!G125) = 0, 0,'Tillegg- Inndata GoF'!AA125+('Tillegg- Inndata GoF'!X125+'Tillegg- Inndata GoF'!Y125)*(1-Faktorer!$Z$58)*0.5)</f>
        <v>0</v>
      </c>
      <c r="AK127" s="90">
        <f t="shared" si="2"/>
        <v>0</v>
      </c>
      <c r="AL127" s="91">
        <f>'Tillegg- Res. detaljert GoF'!N127</f>
        <v>0</v>
      </c>
      <c r="AM127" s="91" t="str">
        <f>IF(F127=0,"",('Tillegg- Inndata GoF'!E127+'Tillegg- Inndata GoF'!F127)*ROUNDDOWN('Tillegg- Inndata GoF'!I127,0)*(1+'Tillegg- Inndata GoF'!K127))</f>
        <v/>
      </c>
    </row>
    <row r="128" spans="2:39">
      <c r="B128" s="327">
        <f>'Tillegg- Inndata GoF'!B126</f>
        <v>0</v>
      </c>
      <c r="C128" s="328">
        <f>'Tillegg- Inndata GoF'!C126</f>
        <v>0</v>
      </c>
      <c r="D128" s="329">
        <f>'Tillegg- Inndata GoF'!D126</f>
        <v>0</v>
      </c>
      <c r="E128" s="661" cm="1">
        <f t="array" ref="E128">SUM(IFERROR(F128:AF128,0))</f>
        <v>0</v>
      </c>
      <c r="F128" s="330">
        <f>'Tillegg- Inndata GoF'!E126</f>
        <v>0</v>
      </c>
      <c r="G128" s="330">
        <f>IF('Tillegg- Inndata GoF'!AB126="Ja", -0.8*'Tillegg- Res. detaljert GoF'!$F128, 0)</f>
        <v>0</v>
      </c>
      <c r="H128" s="330">
        <f>IF('Tillegg- Inndata GoF'!AC126="Ja", -0.4*'Tillegg- Res. detaljert GoF'!$F128, 0)</f>
        <v>0</v>
      </c>
      <c r="I128" s="330">
        <f>IF('Tillegg- Inndata GoF'!AD126="Ja", -1*'Tillegg- Res. detaljert GoF'!$F128, 0)</f>
        <v>0</v>
      </c>
      <c r="J128" s="330">
        <f>'Tillegg- Inndata GoF'!O126*'Tillegg- Inndata GoF'!P126</f>
        <v>0</v>
      </c>
      <c r="K128" s="330">
        <f>MAX(-0.75*(SUM('Tillegg- Res. detaljert GoF'!F128:J128)),-'Tillegg- Inndata GoF'!O126*'Tillegg- Inndata GoF'!Q126)</f>
        <v>0</v>
      </c>
      <c r="L128" s="330">
        <f>'Tillegg- Inndata GoF'!S126*'Tillegg- Inndata GoF'!T126</f>
        <v>0</v>
      </c>
      <c r="M128" s="330">
        <f>MAX(-0.75*(SUM('Tillegg- Res. detaljert GoF'!F128:I128,L128)),-'Tillegg- Inndata GoF'!S126*'Tillegg- Inndata GoF'!U126)</f>
        <v>0</v>
      </c>
      <c r="N128" s="331">
        <f>'Tillegg- Inndata GoF'!F126</f>
        <v>0</v>
      </c>
      <c r="O128" s="330">
        <f>'Tillegg- Inndata GoF'!O126*'Tillegg- Inndata GoF'!R126</f>
        <v>0</v>
      </c>
      <c r="P128" s="332">
        <f>'Tillegg- Inndata GoF'!S126*'Tillegg- Inndata GoF'!V126</f>
        <v>0</v>
      </c>
      <c r="Q128" s="333">
        <f>SUM(F128:J128,L128)*'Tillegg- Inndata GoF'!K126</f>
        <v>0</v>
      </c>
      <c r="R128" s="333">
        <f>(K128+M128)*'Tillegg- Inndata GoF'!K126</f>
        <v>0</v>
      </c>
      <c r="S128" s="333">
        <f>SUM(N128:P128)*'Tillegg- Inndata GoF'!K126</f>
        <v>0</v>
      </c>
      <c r="T128" s="334">
        <f>('Tillegg- Inndata GoF'!G126+'Tillegg- Inndata GoF'!O126+'Tillegg- Inndata GoF'!S126)*'Tillegg- Inndata GoF'!K126*Transport_utslipp_til_avfallshånderting_per_kg</f>
        <v>0</v>
      </c>
      <c r="U128" s="330">
        <f>IF('Tillegg- Inndata GoF'!E126 = 0, 0, 1.833*'Tillegg- Inndata GoF'!X126*'Tillegg- Inndata GoF'!K126*('Tillegg- Inndata GoF'!G126*('Tillegg- Inndata GoF'!L126*0.5+'Tillegg- Inndata GoF'!M126*0.8) + (12/44)*('Tillegg- Inndata GoF'!O126*'Tillegg- Inndata GoF'!Q126+'Tillegg- Inndata GoF'!S126*'Tillegg- Inndata GoF'!U126)))</f>
        <v>0</v>
      </c>
      <c r="V128" s="335">
        <f>IF('Tillegg- Inndata GoF'!G126 = 0, 0,  MAX(-SUM(F128:J128,L128)*'Tillegg- Inndata GoF'!L126, -0.114*IF('Tillegg- Inndata GoF'!H126 &gt; 49, _xlfn.XLOOKUP(49, År_etter_ferdigstillelse, karbon_opptak_faktor), _xlfn.XLOOKUP('Tillegg- Inndata GoF'!H126, År_etter_ferdigstillelse, karbon_opptak_faktor))*'Tillegg- Inndata GoF'!G126*'Tillegg- Inndata GoF'!L126*0.5))</f>
        <v>0</v>
      </c>
      <c r="W128" s="333">
        <f>IF('Tillegg- Inndata GoF'!G126=0,0,IF('Tillegg- Inndata GoF'!H126&gt;49,-0.064*'Tillegg- Inndata GoF'!G126*'Tillegg- Inndata GoF'!N126,-0.037*'Tillegg- Inndata GoF'!J126*'Tillegg- Inndata GoF'!N126))</f>
        <v>0</v>
      </c>
      <c r="X128" s="331" cm="1">
        <f t="array" ref="X128">IF(SUM(F128:J128,L128)=0, 0, SUM(F128:J128,L128)*(1+'Tillegg-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Y128" s="330" cm="1">
        <f t="array" ref="Y128">IF(X128=0, 0, SUM(K128,M128)*(1+'Tillegg-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Z128" s="336" cm="1">
        <f t="array" ref="Z128">IF(X128=0, 0, SUM(N128:P128)*(1+'Tillegg-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AA128" s="336" cm="1">
        <f t="array" ref="AA128">IF(X128=0, 0, ('Tillegg- Inndata GoF'!G126+'Tillegg- Inndata GoF'!O126+'Tillegg- Inndata GoF'!S126)*(1+'Tillegg- Inndata GoF'!K126)*Transport_utslipp_til_avfallshånderting_per_kg*IF('Tillegg- Inndata GoF'!H126&gt;50, 0, _xlfn.XLOOKUP('Tillegg- Inndata GoF'!H126, År_etter_ferdigstillelse, IF(VALUE(LEFT('Tillegg- Inndata GoF'!B126, 2))= 49, f_tid_x_f_tek_d_0_037_kumulativ, f_tid_x_f_tek_d_0_01_kumulativ))))</f>
        <v>0</v>
      </c>
      <c r="AB128" s="334" cm="1">
        <f t="array" ref="AB128">IF(X128=0, 0,1.833*'Tillegg- Inndata GoF'!J126*('Tillegg- Inndata GoF'!X126*_xlfn.XLOOKUP(IF('Tillegg- Inndata GoF'!I126&lt;2,'Tillegg- Inndata GoF'!H126,'Tillegg- Inndata GoF'!H126*2), År_etter_ferdigstillelse, Faktorer!$Z$7:$Z$58))*('Tillegg- Inndata GoF'!L126*0.5+'Tillegg- Inndata GoF'!M126*0.8)*_xlfn.XLOOKUP(IF('Tillegg- Inndata GoF'!I126&lt;2,'Tillegg- Inndata GoF'!H126,'Tillegg- Inndata GoF'!H126*2), År_etter_ferdigstillelse,  IF(LEFT('Tillegg- Inndata GoF'!B126, 2)= 49, f_tid_x_f_tek_d_0_037, f_tid_x_f_tek_d_0_01)))</f>
        <v>0</v>
      </c>
      <c r="AC128" s="335">
        <f>IF(('Tillegg- Inndata GoF'!G126) = 0, 0,(('Tillegg- Inndata GoF'!G126)*((AG128+AI128)*Transport_utslipp_til_avfallshånderting_per_kg)+('Tillegg- Inndata GoF'!Z126*'ZERO-B Beregning'!D228)*IF('ZERO-B Beregning'!F229=0,'ZERO-B Beregning'!D229,'ZERO-B Beregning'!F229))*_xlfn.XLOOKUP(51, År_etter_ferdigstillelse, f_tid_x_f_tek_d_0_01))</f>
        <v>0</v>
      </c>
      <c r="AD128" s="337">
        <f>IF(('Tillegg- Inndata GoF'!G126) = 0, 0,1.833*('Tillegg- Inndata GoF'!G126*('Tillegg- Inndata GoF'!L126*0.5+'Tillegg- Inndata GoF'!M126*0.8)*AG128*_xlfn.XLOOKUP(51, År_etter_ferdigstillelse,  f_tid_x_f_tek_d_0_01)))</f>
        <v>0</v>
      </c>
      <c r="AE128" s="333" cm="1">
        <f t="array" ref="AE128">IF(('Tillegg- Inndata GoF'!G126) = 0, 0,-0.8*('Tillegg- Inndata GoF'!G126)*AH128*('Tillegg- Inndata GoF'!E126/'Tillegg- Inndata GoF'!G126)*_xlfn.XLOOKUP(51, År_etter_ferdigstillelse,  IF(LEFT('Tillegg- Inndata GoF'!B126, 2)= 49, f_tid_x_f_tek_d_0_037, f_tid_x_f_tek_d_0_01)))</f>
        <v>0</v>
      </c>
      <c r="AF128" s="338" cm="1">
        <f t="array" ref="AF128">IF(('Tillegg- Inndata GoF'!G126) = 0, 0,-0.1*('Tillegg- Inndata GoF'!G126)*AI128*('Tillegg- Inndata GoF'!E126/'Tillegg- Inndata GoF'!G126)*_xlfn.XLOOKUP(51, År_etter_ferdigstillelse,  IF(LEFT('Tillegg- Inndata GoF'!B126, 2)= 49, f_tid_x_f_tek_d_0_037, f_tid_x_f_tek_d_0_01)))</f>
        <v>0</v>
      </c>
      <c r="AG128" s="572">
        <f>IF(('Tillegg- Inndata GoF'!G126) = 0, 0,'Tillegg- Inndata GoF'!X126*Faktorer!$Z$58)</f>
        <v>0</v>
      </c>
      <c r="AH128" s="573">
        <f>IF(('Tillegg- Inndata GoF'!G126) = 0, 0,'Tillegg- Inndata GoF'!Z126+('Tillegg- Inndata GoF'!X126+'Tillegg- Inndata GoF'!Y126)*(1-Faktorer!$Z$58)*0.5)</f>
        <v>0</v>
      </c>
      <c r="AI128" s="574">
        <f>IF(('Tillegg- Inndata GoF'!G126) = 0, 0,'Tillegg- Inndata GoF'!AA126+('Tillegg- Inndata GoF'!X126+'Tillegg- Inndata GoF'!Y126)*(1-Faktorer!$Z$58)*0.5)</f>
        <v>0</v>
      </c>
      <c r="AK128" s="90">
        <f t="shared" si="2"/>
        <v>0</v>
      </c>
      <c r="AL128" s="91">
        <f>'Tillegg- Res. detaljert GoF'!N128</f>
        <v>0</v>
      </c>
      <c r="AM128" s="91" t="str">
        <f>IF(F128=0,"",('Tillegg- Inndata GoF'!E128+'Tillegg- Inndata GoF'!F128)*ROUNDDOWN('Tillegg- Inndata GoF'!I128,0)*(1+'Tillegg- Inndata GoF'!K128))</f>
        <v/>
      </c>
    </row>
    <row r="129" spans="2:39">
      <c r="B129" s="327">
        <f>'Tillegg- Inndata GoF'!B127</f>
        <v>0</v>
      </c>
      <c r="C129" s="328">
        <f>'Tillegg- Inndata GoF'!C127</f>
        <v>0</v>
      </c>
      <c r="D129" s="329">
        <f>'Tillegg- Inndata GoF'!D127</f>
        <v>0</v>
      </c>
      <c r="E129" s="661" cm="1">
        <f t="array" ref="E129">SUM(IFERROR(F129:AF129,0))</f>
        <v>0</v>
      </c>
      <c r="F129" s="330">
        <f>'Tillegg- Inndata GoF'!E127</f>
        <v>0</v>
      </c>
      <c r="G129" s="330">
        <f>IF('Tillegg- Inndata GoF'!AB127="Ja", -0.8*'Tillegg- Res. detaljert GoF'!$F129, 0)</f>
        <v>0</v>
      </c>
      <c r="H129" s="330">
        <f>IF('Tillegg- Inndata GoF'!AC127="Ja", -0.4*'Tillegg- Res. detaljert GoF'!$F129, 0)</f>
        <v>0</v>
      </c>
      <c r="I129" s="330">
        <f>IF('Tillegg- Inndata GoF'!AD127="Ja", -1*'Tillegg- Res. detaljert GoF'!$F129, 0)</f>
        <v>0</v>
      </c>
      <c r="J129" s="330">
        <f>'Tillegg- Inndata GoF'!O127*'Tillegg- Inndata GoF'!P127</f>
        <v>0</v>
      </c>
      <c r="K129" s="330">
        <f>MAX(-0.75*(SUM('Tillegg- Res. detaljert GoF'!F129:J129)),-'Tillegg- Inndata GoF'!O127*'Tillegg- Inndata GoF'!Q127)</f>
        <v>0</v>
      </c>
      <c r="L129" s="330">
        <f>'Tillegg- Inndata GoF'!S127*'Tillegg- Inndata GoF'!T127</f>
        <v>0</v>
      </c>
      <c r="M129" s="330">
        <f>MAX(-0.75*(SUM('Tillegg- Res. detaljert GoF'!F129:I129,L129)),-'Tillegg- Inndata GoF'!S127*'Tillegg- Inndata GoF'!U127)</f>
        <v>0</v>
      </c>
      <c r="N129" s="331">
        <f>'Tillegg- Inndata GoF'!F127</f>
        <v>0</v>
      </c>
      <c r="O129" s="330">
        <f>'Tillegg- Inndata GoF'!O127*'Tillegg- Inndata GoF'!R127</f>
        <v>0</v>
      </c>
      <c r="P129" s="332">
        <f>'Tillegg- Inndata GoF'!S127*'Tillegg- Inndata GoF'!V127</f>
        <v>0</v>
      </c>
      <c r="Q129" s="333">
        <f>SUM(F129:J129,L129)*'Tillegg- Inndata GoF'!K127</f>
        <v>0</v>
      </c>
      <c r="R129" s="333">
        <f>(K129+M129)*'Tillegg- Inndata GoF'!K127</f>
        <v>0</v>
      </c>
      <c r="S129" s="333">
        <f>SUM(N129:P129)*'Tillegg- Inndata GoF'!K127</f>
        <v>0</v>
      </c>
      <c r="T129" s="334">
        <f>('Tillegg- Inndata GoF'!G127+'Tillegg- Inndata GoF'!O127+'Tillegg- Inndata GoF'!S127)*'Tillegg- Inndata GoF'!K127*Transport_utslipp_til_avfallshånderting_per_kg</f>
        <v>0</v>
      </c>
      <c r="U129" s="330">
        <f>IF('Tillegg- Inndata GoF'!E127 = 0, 0, 1.833*'Tillegg- Inndata GoF'!X127*'Tillegg- Inndata GoF'!K127*('Tillegg- Inndata GoF'!G127*('Tillegg- Inndata GoF'!L127*0.5+'Tillegg- Inndata GoF'!M127*0.8) + (12/44)*('Tillegg- Inndata GoF'!O127*'Tillegg- Inndata GoF'!Q127+'Tillegg- Inndata GoF'!S127*'Tillegg- Inndata GoF'!U127)))</f>
        <v>0</v>
      </c>
      <c r="V129" s="335">
        <f>IF('Tillegg- Inndata GoF'!G127 = 0, 0,  MAX(-SUM(F129:J129,L129)*'Tillegg- Inndata GoF'!L127, -0.114*IF('Tillegg- Inndata GoF'!H127 &gt; 49, _xlfn.XLOOKUP(49, År_etter_ferdigstillelse, karbon_opptak_faktor), _xlfn.XLOOKUP('Tillegg- Inndata GoF'!H127, År_etter_ferdigstillelse, karbon_opptak_faktor))*'Tillegg- Inndata GoF'!G127*'Tillegg- Inndata GoF'!L127*0.5))</f>
        <v>0</v>
      </c>
      <c r="W129" s="333">
        <f>IF('Tillegg- Inndata GoF'!G127=0,0,IF('Tillegg- Inndata GoF'!H127&gt;49,-0.064*'Tillegg- Inndata GoF'!G127*'Tillegg- Inndata GoF'!N127,-0.037*'Tillegg- Inndata GoF'!J127*'Tillegg- Inndata GoF'!N127))</f>
        <v>0</v>
      </c>
      <c r="X129" s="331" cm="1">
        <f t="array" ref="X129">IF(SUM(F129:J129,L129)=0, 0, SUM(F129:J129,L129)*(1+'Tillegg-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Y129" s="330" cm="1">
        <f t="array" ref="Y129">IF(X129=0, 0, SUM(K129,M129)*(1+'Tillegg-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Z129" s="336" cm="1">
        <f t="array" ref="Z129">IF(X129=0, 0, SUM(N129:P129)*(1+'Tillegg-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AA129" s="336" cm="1">
        <f t="array" ref="AA129">IF(X129=0, 0, ('Tillegg- Inndata GoF'!G127+'Tillegg- Inndata GoF'!O127+'Tillegg- Inndata GoF'!S127)*(1+'Tillegg- Inndata GoF'!K127)*Transport_utslipp_til_avfallshånderting_per_kg*IF('Tillegg- Inndata GoF'!H127&gt;50, 0, _xlfn.XLOOKUP('Tillegg- Inndata GoF'!H127, År_etter_ferdigstillelse, IF(VALUE(LEFT('Tillegg- Inndata GoF'!B127, 2))= 49, f_tid_x_f_tek_d_0_037_kumulativ, f_tid_x_f_tek_d_0_01_kumulativ))))</f>
        <v>0</v>
      </c>
      <c r="AB129" s="334" cm="1">
        <f t="array" ref="AB129">IF(X129=0, 0,1.833*'Tillegg- Inndata GoF'!J127*('Tillegg- Inndata GoF'!X127*_xlfn.XLOOKUP(IF('Tillegg- Inndata GoF'!I127&lt;2,'Tillegg- Inndata GoF'!H127,'Tillegg- Inndata GoF'!H127*2), År_etter_ferdigstillelse, Faktorer!$Z$7:$Z$58))*('Tillegg- Inndata GoF'!L127*0.5+'Tillegg- Inndata GoF'!M127*0.8)*_xlfn.XLOOKUP(IF('Tillegg- Inndata GoF'!I127&lt;2,'Tillegg- Inndata GoF'!H127,'Tillegg- Inndata GoF'!H127*2), År_etter_ferdigstillelse,  IF(LEFT('Tillegg- Inndata GoF'!B127, 2)= 49, f_tid_x_f_tek_d_0_037, f_tid_x_f_tek_d_0_01)))</f>
        <v>0</v>
      </c>
      <c r="AC129" s="335">
        <f>IF(('Tillegg- Inndata GoF'!G127) = 0, 0,(('Tillegg- Inndata GoF'!G127)*((AG129+AI129)*Transport_utslipp_til_avfallshånderting_per_kg)+('Tillegg- Inndata GoF'!Z127*'ZERO-B Beregning'!D229)*IF('ZERO-B Beregning'!F230=0,'ZERO-B Beregning'!D230,'ZERO-B Beregning'!F230))*_xlfn.XLOOKUP(51, År_etter_ferdigstillelse, f_tid_x_f_tek_d_0_01))</f>
        <v>0</v>
      </c>
      <c r="AD129" s="337">
        <f>IF(('Tillegg- Inndata GoF'!G127) = 0, 0,1.833*('Tillegg- Inndata GoF'!G127*('Tillegg- Inndata GoF'!L127*0.5+'Tillegg- Inndata GoF'!M127*0.8)*AG129*_xlfn.XLOOKUP(51, År_etter_ferdigstillelse,  f_tid_x_f_tek_d_0_01)))</f>
        <v>0</v>
      </c>
      <c r="AE129" s="333" cm="1">
        <f t="array" ref="AE129">IF(('Tillegg- Inndata GoF'!G127) = 0, 0,-0.8*('Tillegg- Inndata GoF'!G127)*AH129*('Tillegg- Inndata GoF'!E127/'Tillegg- Inndata GoF'!G127)*_xlfn.XLOOKUP(51, År_etter_ferdigstillelse,  IF(LEFT('Tillegg- Inndata GoF'!B127, 2)= 49, f_tid_x_f_tek_d_0_037, f_tid_x_f_tek_d_0_01)))</f>
        <v>0</v>
      </c>
      <c r="AF129" s="338" cm="1">
        <f t="array" ref="AF129">IF(('Tillegg- Inndata GoF'!G127) = 0, 0,-0.1*('Tillegg- Inndata GoF'!G127)*AI129*('Tillegg- Inndata GoF'!E127/'Tillegg- Inndata GoF'!G127)*_xlfn.XLOOKUP(51, År_etter_ferdigstillelse,  IF(LEFT('Tillegg- Inndata GoF'!B127, 2)= 49, f_tid_x_f_tek_d_0_037, f_tid_x_f_tek_d_0_01)))</f>
        <v>0</v>
      </c>
      <c r="AG129" s="572">
        <f>IF(('Tillegg- Inndata GoF'!G127) = 0, 0,'Tillegg- Inndata GoF'!X127*Faktorer!$Z$58)</f>
        <v>0</v>
      </c>
      <c r="AH129" s="573">
        <f>IF(('Tillegg- Inndata GoF'!G127) = 0, 0,'Tillegg- Inndata GoF'!Z127+('Tillegg- Inndata GoF'!X127+'Tillegg- Inndata GoF'!Y127)*(1-Faktorer!$Z$58)*0.5)</f>
        <v>0</v>
      </c>
      <c r="AI129" s="574">
        <f>IF(('Tillegg- Inndata GoF'!G127) = 0, 0,'Tillegg- Inndata GoF'!AA127+('Tillegg- Inndata GoF'!X127+'Tillegg- Inndata GoF'!Y127)*(1-Faktorer!$Z$58)*0.5)</f>
        <v>0</v>
      </c>
      <c r="AK129" s="90">
        <f t="shared" si="2"/>
        <v>0</v>
      </c>
      <c r="AL129" s="91">
        <f>'Tillegg- Res. detaljert GoF'!N129</f>
        <v>0</v>
      </c>
      <c r="AM129" s="91" t="str">
        <f>IF(F129=0,"",('Tillegg- Inndata GoF'!E129+'Tillegg- Inndata GoF'!F129)*ROUNDDOWN('Tillegg- Inndata GoF'!I129,0)*(1+'Tillegg- Inndata GoF'!K129))</f>
        <v/>
      </c>
    </row>
    <row r="130" spans="2:39">
      <c r="B130" s="327">
        <f>'Tillegg- Inndata GoF'!B128</f>
        <v>0</v>
      </c>
      <c r="C130" s="328">
        <f>'Tillegg- Inndata GoF'!C128</f>
        <v>0</v>
      </c>
      <c r="D130" s="329">
        <f>'Tillegg- Inndata GoF'!D128</f>
        <v>0</v>
      </c>
      <c r="E130" s="661" cm="1">
        <f t="array" ref="E130">SUM(IFERROR(F130:AF130,0))</f>
        <v>0</v>
      </c>
      <c r="F130" s="330">
        <f>'Tillegg- Inndata GoF'!E128</f>
        <v>0</v>
      </c>
      <c r="G130" s="330">
        <f>IF('Tillegg- Inndata GoF'!AB128="Ja", -0.8*'Tillegg- Res. detaljert GoF'!$F130, 0)</f>
        <v>0</v>
      </c>
      <c r="H130" s="330">
        <f>IF('Tillegg- Inndata GoF'!AC128="Ja", -0.4*'Tillegg- Res. detaljert GoF'!$F130, 0)</f>
        <v>0</v>
      </c>
      <c r="I130" s="330">
        <f>IF('Tillegg- Inndata GoF'!AD128="Ja", -1*'Tillegg- Res. detaljert GoF'!$F130, 0)</f>
        <v>0</v>
      </c>
      <c r="J130" s="330">
        <f>'Tillegg- Inndata GoF'!O128*'Tillegg- Inndata GoF'!P128</f>
        <v>0</v>
      </c>
      <c r="K130" s="330">
        <f>MAX(-0.75*(SUM('Tillegg- Res. detaljert GoF'!F130:J130)),-'Tillegg- Inndata GoF'!O128*'Tillegg- Inndata GoF'!Q128)</f>
        <v>0</v>
      </c>
      <c r="L130" s="330">
        <f>'Tillegg- Inndata GoF'!S128*'Tillegg- Inndata GoF'!T128</f>
        <v>0</v>
      </c>
      <c r="M130" s="330">
        <f>MAX(-0.75*(SUM('Tillegg- Res. detaljert GoF'!F130:I130,L130)),-'Tillegg- Inndata GoF'!S128*'Tillegg- Inndata GoF'!U128)</f>
        <v>0</v>
      </c>
      <c r="N130" s="331">
        <f>'Tillegg- Inndata GoF'!F128</f>
        <v>0</v>
      </c>
      <c r="O130" s="330">
        <f>'Tillegg- Inndata GoF'!O128*'Tillegg- Inndata GoF'!R128</f>
        <v>0</v>
      </c>
      <c r="P130" s="332">
        <f>'Tillegg- Inndata GoF'!S128*'Tillegg- Inndata GoF'!V128</f>
        <v>0</v>
      </c>
      <c r="Q130" s="333">
        <f>SUM(F130:J130,L130)*'Tillegg- Inndata GoF'!K128</f>
        <v>0</v>
      </c>
      <c r="R130" s="333">
        <f>(K130+M130)*'Tillegg- Inndata GoF'!K128</f>
        <v>0</v>
      </c>
      <c r="S130" s="333">
        <f>SUM(N130:P130)*'Tillegg- Inndata GoF'!K128</f>
        <v>0</v>
      </c>
      <c r="T130" s="334">
        <f>('Tillegg- Inndata GoF'!G128+'Tillegg- Inndata GoF'!O128+'Tillegg- Inndata GoF'!S128)*'Tillegg- Inndata GoF'!K128*Transport_utslipp_til_avfallshånderting_per_kg</f>
        <v>0</v>
      </c>
      <c r="U130" s="330">
        <f>IF('Tillegg- Inndata GoF'!E128 = 0, 0, 1.833*'Tillegg- Inndata GoF'!X128*'Tillegg- Inndata GoF'!K128*('Tillegg- Inndata GoF'!G128*('Tillegg- Inndata GoF'!L128*0.5+'Tillegg- Inndata GoF'!M128*0.8) + (12/44)*('Tillegg- Inndata GoF'!O128*'Tillegg- Inndata GoF'!Q128+'Tillegg- Inndata GoF'!S128*'Tillegg- Inndata GoF'!U128)))</f>
        <v>0</v>
      </c>
      <c r="V130" s="335">
        <f>IF('Tillegg- Inndata GoF'!G128 = 0, 0,  MAX(-SUM(F130:J130,L130)*'Tillegg- Inndata GoF'!L128, -0.114*IF('Tillegg- Inndata GoF'!H128 &gt; 49, _xlfn.XLOOKUP(49, År_etter_ferdigstillelse, karbon_opptak_faktor), _xlfn.XLOOKUP('Tillegg- Inndata GoF'!H128, År_etter_ferdigstillelse, karbon_opptak_faktor))*'Tillegg- Inndata GoF'!G128*'Tillegg- Inndata GoF'!L128*0.5))</f>
        <v>0</v>
      </c>
      <c r="W130" s="333">
        <f>IF('Tillegg- Inndata GoF'!G128=0,0,IF('Tillegg- Inndata GoF'!H128&gt;49,-0.064*'Tillegg- Inndata GoF'!G128*'Tillegg- Inndata GoF'!N128,-0.037*'Tillegg- Inndata GoF'!J128*'Tillegg- Inndata GoF'!N128))</f>
        <v>0</v>
      </c>
      <c r="X130" s="331" cm="1">
        <f t="array" ref="X130">IF(SUM(F130:J130,L130)=0, 0, SUM(F130:J130,L130)*(1+'Tillegg-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Y130" s="330" cm="1">
        <f t="array" ref="Y130">IF(X130=0, 0, SUM(K130,M130)*(1+'Tillegg-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Z130" s="336" cm="1">
        <f t="array" ref="Z130">IF(X130=0, 0, SUM(N130:P130)*(1+'Tillegg-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AA130" s="336" cm="1">
        <f t="array" ref="AA130">IF(X130=0, 0, ('Tillegg- Inndata GoF'!G128+'Tillegg- Inndata GoF'!O128+'Tillegg- Inndata GoF'!S128)*(1+'Tillegg- Inndata GoF'!K128)*Transport_utslipp_til_avfallshånderting_per_kg*IF('Tillegg- Inndata GoF'!H128&gt;50, 0, _xlfn.XLOOKUP('Tillegg- Inndata GoF'!H128, År_etter_ferdigstillelse, IF(VALUE(LEFT('Tillegg- Inndata GoF'!B128, 2))= 49, f_tid_x_f_tek_d_0_037_kumulativ, f_tid_x_f_tek_d_0_01_kumulativ))))</f>
        <v>0</v>
      </c>
      <c r="AB130" s="334" cm="1">
        <f t="array" ref="AB130">IF(X130=0, 0,1.833*'Tillegg- Inndata GoF'!J128*('Tillegg- Inndata GoF'!X128*_xlfn.XLOOKUP(IF('Tillegg- Inndata GoF'!I128&lt;2,'Tillegg- Inndata GoF'!H128,'Tillegg- Inndata GoF'!H128*2), År_etter_ferdigstillelse, Faktorer!$Z$7:$Z$58))*('Tillegg- Inndata GoF'!L128*0.5+'Tillegg- Inndata GoF'!M128*0.8)*_xlfn.XLOOKUP(IF('Tillegg- Inndata GoF'!I128&lt;2,'Tillegg- Inndata GoF'!H128,'Tillegg- Inndata GoF'!H128*2), År_etter_ferdigstillelse,  IF(LEFT('Tillegg- Inndata GoF'!B128, 2)= 49, f_tid_x_f_tek_d_0_037, f_tid_x_f_tek_d_0_01)))</f>
        <v>0</v>
      </c>
      <c r="AC130" s="335">
        <f>IF(('Tillegg- Inndata GoF'!G128) = 0, 0,(('Tillegg- Inndata GoF'!G128)*((AG130+AI130)*Transport_utslipp_til_avfallshånderting_per_kg)+('Tillegg- Inndata GoF'!Z128*'ZERO-B Beregning'!D230)*IF('ZERO-B Beregning'!F231=0,'ZERO-B Beregning'!D231,'ZERO-B Beregning'!F231))*_xlfn.XLOOKUP(51, År_etter_ferdigstillelse, f_tid_x_f_tek_d_0_01))</f>
        <v>0</v>
      </c>
      <c r="AD130" s="337">
        <f>IF(('Tillegg- Inndata GoF'!G128) = 0, 0,1.833*('Tillegg- Inndata GoF'!G128*('Tillegg- Inndata GoF'!L128*0.5+'Tillegg- Inndata GoF'!M128*0.8)*AG130*_xlfn.XLOOKUP(51, År_etter_ferdigstillelse,  f_tid_x_f_tek_d_0_01)))</f>
        <v>0</v>
      </c>
      <c r="AE130" s="333" cm="1">
        <f t="array" ref="AE130">IF(('Tillegg- Inndata GoF'!G128) = 0, 0,-0.8*('Tillegg- Inndata GoF'!G128)*AH130*('Tillegg- Inndata GoF'!E128/'Tillegg- Inndata GoF'!G128)*_xlfn.XLOOKUP(51, År_etter_ferdigstillelse,  IF(LEFT('Tillegg- Inndata GoF'!B128, 2)= 49, f_tid_x_f_tek_d_0_037, f_tid_x_f_tek_d_0_01)))</f>
        <v>0</v>
      </c>
      <c r="AF130" s="338" cm="1">
        <f t="array" ref="AF130">IF(('Tillegg- Inndata GoF'!G128) = 0, 0,-0.1*('Tillegg- Inndata GoF'!G128)*AI130*('Tillegg- Inndata GoF'!E128/'Tillegg- Inndata GoF'!G128)*_xlfn.XLOOKUP(51, År_etter_ferdigstillelse,  IF(LEFT('Tillegg- Inndata GoF'!B128, 2)= 49, f_tid_x_f_tek_d_0_037, f_tid_x_f_tek_d_0_01)))</f>
        <v>0</v>
      </c>
      <c r="AG130" s="572">
        <f>IF(('Tillegg- Inndata GoF'!G128) = 0, 0,'Tillegg- Inndata GoF'!X128*Faktorer!$Z$58)</f>
        <v>0</v>
      </c>
      <c r="AH130" s="573">
        <f>IF(('Tillegg- Inndata GoF'!G128) = 0, 0,'Tillegg- Inndata GoF'!Z128+('Tillegg- Inndata GoF'!X128+'Tillegg- Inndata GoF'!Y128)*(1-Faktorer!$Z$58)*0.5)</f>
        <v>0</v>
      </c>
      <c r="AI130" s="574">
        <f>IF(('Tillegg- Inndata GoF'!G128) = 0, 0,'Tillegg- Inndata GoF'!AA128+('Tillegg- Inndata GoF'!X128+'Tillegg- Inndata GoF'!Y128)*(1-Faktorer!$Z$58)*0.5)</f>
        <v>0</v>
      </c>
      <c r="AK130" s="90">
        <f t="shared" si="2"/>
        <v>0</v>
      </c>
      <c r="AL130" s="91">
        <f>'Tillegg- Res. detaljert GoF'!N130</f>
        <v>0</v>
      </c>
      <c r="AM130" s="91" t="str">
        <f>IF(F130=0,"",('Tillegg- Inndata GoF'!E130+'Tillegg- Inndata GoF'!F130)*ROUNDDOWN('Tillegg- Inndata GoF'!I130,0)*(1+'Tillegg- Inndata GoF'!K130))</f>
        <v/>
      </c>
    </row>
    <row r="131" spans="2:39">
      <c r="B131" s="327">
        <f>'Tillegg- Inndata GoF'!B129</f>
        <v>0</v>
      </c>
      <c r="C131" s="328">
        <f>'Tillegg- Inndata GoF'!C129</f>
        <v>0</v>
      </c>
      <c r="D131" s="329">
        <f>'Tillegg- Inndata GoF'!D129</f>
        <v>0</v>
      </c>
      <c r="E131" s="661" cm="1">
        <f t="array" ref="E131">SUM(IFERROR(F131:AF131,0))</f>
        <v>0</v>
      </c>
      <c r="F131" s="330">
        <f>'Tillegg- Inndata GoF'!E129</f>
        <v>0</v>
      </c>
      <c r="G131" s="330">
        <f>IF('Tillegg- Inndata GoF'!AB129="Ja", -0.8*'Tillegg- Res. detaljert GoF'!$F131, 0)</f>
        <v>0</v>
      </c>
      <c r="H131" s="330">
        <f>IF('Tillegg- Inndata GoF'!AC129="Ja", -0.4*'Tillegg- Res. detaljert GoF'!$F131, 0)</f>
        <v>0</v>
      </c>
      <c r="I131" s="330">
        <f>IF('Tillegg- Inndata GoF'!AD129="Ja", -1*'Tillegg- Res. detaljert GoF'!$F131, 0)</f>
        <v>0</v>
      </c>
      <c r="J131" s="330">
        <f>'Tillegg- Inndata GoF'!O129*'Tillegg- Inndata GoF'!P129</f>
        <v>0</v>
      </c>
      <c r="K131" s="330">
        <f>MAX(-0.75*(SUM('Tillegg- Res. detaljert GoF'!F131:J131)),-'Tillegg- Inndata GoF'!O129*'Tillegg- Inndata GoF'!Q129)</f>
        <v>0</v>
      </c>
      <c r="L131" s="330">
        <f>'Tillegg- Inndata GoF'!S129*'Tillegg- Inndata GoF'!T129</f>
        <v>0</v>
      </c>
      <c r="M131" s="330">
        <f>MAX(-0.75*(SUM('Tillegg- Res. detaljert GoF'!F131:I131,L131)),-'Tillegg- Inndata GoF'!S129*'Tillegg- Inndata GoF'!U129)</f>
        <v>0</v>
      </c>
      <c r="N131" s="331">
        <f>'Tillegg- Inndata GoF'!F129</f>
        <v>0</v>
      </c>
      <c r="O131" s="330">
        <f>'Tillegg- Inndata GoF'!O129*'Tillegg- Inndata GoF'!R129</f>
        <v>0</v>
      </c>
      <c r="P131" s="332">
        <f>'Tillegg- Inndata GoF'!S129*'Tillegg- Inndata GoF'!V129</f>
        <v>0</v>
      </c>
      <c r="Q131" s="333">
        <f>SUM(F131:J131,L131)*'Tillegg- Inndata GoF'!K129</f>
        <v>0</v>
      </c>
      <c r="R131" s="333">
        <f>(K131+M131)*'Tillegg- Inndata GoF'!K129</f>
        <v>0</v>
      </c>
      <c r="S131" s="333">
        <f>SUM(N131:P131)*'Tillegg- Inndata GoF'!K129</f>
        <v>0</v>
      </c>
      <c r="T131" s="334">
        <f>('Tillegg- Inndata GoF'!G129+'Tillegg- Inndata GoF'!O129+'Tillegg- Inndata GoF'!S129)*'Tillegg- Inndata GoF'!K129*Transport_utslipp_til_avfallshånderting_per_kg</f>
        <v>0</v>
      </c>
      <c r="U131" s="330">
        <f>IF('Tillegg- Inndata GoF'!E129 = 0, 0, 1.833*'Tillegg- Inndata GoF'!X129*'Tillegg- Inndata GoF'!K129*('Tillegg- Inndata GoF'!G129*('Tillegg- Inndata GoF'!L129*0.5+'Tillegg- Inndata GoF'!M129*0.8) + (12/44)*('Tillegg- Inndata GoF'!O129*'Tillegg- Inndata GoF'!Q129+'Tillegg- Inndata GoF'!S129*'Tillegg- Inndata GoF'!U129)))</f>
        <v>0</v>
      </c>
      <c r="V131" s="335">
        <f>IF('Tillegg- Inndata GoF'!G129 = 0, 0,  MAX(-SUM(F131:J131,L131)*'Tillegg- Inndata GoF'!L129, -0.114*IF('Tillegg- Inndata GoF'!H129 &gt; 49, _xlfn.XLOOKUP(49, År_etter_ferdigstillelse, karbon_opptak_faktor), _xlfn.XLOOKUP('Tillegg- Inndata GoF'!H129, År_etter_ferdigstillelse, karbon_opptak_faktor))*'Tillegg- Inndata GoF'!G129*'Tillegg- Inndata GoF'!L129*0.5))</f>
        <v>0</v>
      </c>
      <c r="W131" s="333">
        <f>IF('Tillegg- Inndata GoF'!G129=0,0,IF('Tillegg- Inndata GoF'!H129&gt;49,-0.064*'Tillegg- Inndata GoF'!G129*'Tillegg- Inndata GoF'!N129,-0.037*'Tillegg- Inndata GoF'!J129*'Tillegg- Inndata GoF'!N129))</f>
        <v>0</v>
      </c>
      <c r="X131" s="331" cm="1">
        <f t="array" ref="X131">IF(SUM(F131:J131,L131)=0, 0, SUM(F131:J131,L131)*(1+'Tillegg-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Y131" s="330" cm="1">
        <f t="array" ref="Y131">IF(X131=0, 0, SUM(K131,M131)*(1+'Tillegg-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Z131" s="336" cm="1">
        <f t="array" ref="Z131">IF(X131=0, 0, SUM(N131:P131)*(1+'Tillegg-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AA131" s="336" cm="1">
        <f t="array" ref="AA131">IF(X131=0, 0, ('Tillegg- Inndata GoF'!G129+'Tillegg- Inndata GoF'!O129+'Tillegg- Inndata GoF'!S129)*(1+'Tillegg- Inndata GoF'!K129)*Transport_utslipp_til_avfallshånderting_per_kg*IF('Tillegg- Inndata GoF'!H129&gt;50, 0, _xlfn.XLOOKUP('Tillegg- Inndata GoF'!H129, År_etter_ferdigstillelse, IF(VALUE(LEFT('Tillegg- Inndata GoF'!B129, 2))= 49, f_tid_x_f_tek_d_0_037_kumulativ, f_tid_x_f_tek_d_0_01_kumulativ))))</f>
        <v>0</v>
      </c>
      <c r="AB131" s="334" cm="1">
        <f t="array" ref="AB131">IF(X131=0, 0,1.833*'Tillegg- Inndata GoF'!J129*('Tillegg- Inndata GoF'!X129*_xlfn.XLOOKUP(IF('Tillegg- Inndata GoF'!I129&lt;2,'Tillegg- Inndata GoF'!H129,'Tillegg- Inndata GoF'!H129*2), År_etter_ferdigstillelse, Faktorer!$Z$7:$Z$58))*('Tillegg- Inndata GoF'!L129*0.5+'Tillegg- Inndata GoF'!M129*0.8)*_xlfn.XLOOKUP(IF('Tillegg- Inndata GoF'!I129&lt;2,'Tillegg- Inndata GoF'!H129,'Tillegg- Inndata GoF'!H129*2), År_etter_ferdigstillelse,  IF(LEFT('Tillegg- Inndata GoF'!B129, 2)= 49, f_tid_x_f_tek_d_0_037, f_tid_x_f_tek_d_0_01)))</f>
        <v>0</v>
      </c>
      <c r="AC131" s="335">
        <f>IF(('Tillegg- Inndata GoF'!G129) = 0, 0,(('Tillegg- Inndata GoF'!G129)*((AG131+AI131)*Transport_utslipp_til_avfallshånderting_per_kg)+('Tillegg- Inndata GoF'!Z129*'ZERO-B Beregning'!D231)*IF('ZERO-B Beregning'!F232=0,'ZERO-B Beregning'!D232,'ZERO-B Beregning'!F232))*_xlfn.XLOOKUP(51, År_etter_ferdigstillelse, f_tid_x_f_tek_d_0_01))</f>
        <v>0</v>
      </c>
      <c r="AD131" s="337">
        <f>IF(('Tillegg- Inndata GoF'!G129) = 0, 0,1.833*('Tillegg- Inndata GoF'!G129*('Tillegg- Inndata GoF'!L129*0.5+'Tillegg- Inndata GoF'!M129*0.8)*AG131*_xlfn.XLOOKUP(51, År_etter_ferdigstillelse,  f_tid_x_f_tek_d_0_01)))</f>
        <v>0</v>
      </c>
      <c r="AE131" s="333" cm="1">
        <f t="array" ref="AE131">IF(('Tillegg- Inndata GoF'!G129) = 0, 0,-0.8*('Tillegg- Inndata GoF'!G129)*AH131*('Tillegg- Inndata GoF'!E129/'Tillegg- Inndata GoF'!G129)*_xlfn.XLOOKUP(51, År_etter_ferdigstillelse,  IF(LEFT('Tillegg- Inndata GoF'!B129, 2)= 49, f_tid_x_f_tek_d_0_037, f_tid_x_f_tek_d_0_01)))</f>
        <v>0</v>
      </c>
      <c r="AF131" s="338" cm="1">
        <f t="array" ref="AF131">IF(('Tillegg- Inndata GoF'!G129) = 0, 0,-0.1*('Tillegg- Inndata GoF'!G129)*AI131*('Tillegg- Inndata GoF'!E129/'Tillegg- Inndata GoF'!G129)*_xlfn.XLOOKUP(51, År_etter_ferdigstillelse,  IF(LEFT('Tillegg- Inndata GoF'!B129, 2)= 49, f_tid_x_f_tek_d_0_037, f_tid_x_f_tek_d_0_01)))</f>
        <v>0</v>
      </c>
      <c r="AG131" s="572">
        <f>IF(('Tillegg- Inndata GoF'!G129) = 0, 0,'Tillegg- Inndata GoF'!X129*Faktorer!$Z$58)</f>
        <v>0</v>
      </c>
      <c r="AH131" s="573">
        <f>IF(('Tillegg- Inndata GoF'!G129) = 0, 0,'Tillegg- Inndata GoF'!Z129+('Tillegg- Inndata GoF'!X129+'Tillegg- Inndata GoF'!Y129)*(1-Faktorer!$Z$58)*0.5)</f>
        <v>0</v>
      </c>
      <c r="AI131" s="574">
        <f>IF(('Tillegg- Inndata GoF'!G129) = 0, 0,'Tillegg- Inndata GoF'!AA129+('Tillegg- Inndata GoF'!X129+'Tillegg- Inndata GoF'!Y129)*(1-Faktorer!$Z$58)*0.5)</f>
        <v>0</v>
      </c>
      <c r="AK131" s="90">
        <f t="shared" si="2"/>
        <v>0</v>
      </c>
      <c r="AL131" s="91">
        <f>'Tillegg- Res. detaljert GoF'!N131</f>
        <v>0</v>
      </c>
      <c r="AM131" s="91" t="str">
        <f>IF(F131=0,"",('Tillegg- Inndata GoF'!E131+'Tillegg- Inndata GoF'!F131)*ROUNDDOWN('Tillegg- Inndata GoF'!I131,0)*(1+'Tillegg- Inndata GoF'!K131))</f>
        <v/>
      </c>
    </row>
    <row r="132" spans="2:39">
      <c r="B132" s="327">
        <f>'Tillegg- Inndata GoF'!B130</f>
        <v>0</v>
      </c>
      <c r="C132" s="328">
        <f>'Tillegg- Inndata GoF'!C130</f>
        <v>0</v>
      </c>
      <c r="D132" s="329">
        <f>'Tillegg- Inndata GoF'!D130</f>
        <v>0</v>
      </c>
      <c r="E132" s="661" cm="1">
        <f t="array" ref="E132">SUM(IFERROR(F132:AF132,0))</f>
        <v>0</v>
      </c>
      <c r="F132" s="330">
        <f>'Tillegg- Inndata GoF'!E130</f>
        <v>0</v>
      </c>
      <c r="G132" s="330">
        <f>IF('Tillegg- Inndata GoF'!AB130="Ja", -0.8*'Tillegg- Res. detaljert GoF'!$F132, 0)</f>
        <v>0</v>
      </c>
      <c r="H132" s="330">
        <f>IF('Tillegg- Inndata GoF'!AC130="Ja", -0.4*'Tillegg- Res. detaljert GoF'!$F132, 0)</f>
        <v>0</v>
      </c>
      <c r="I132" s="330">
        <f>IF('Tillegg- Inndata GoF'!AD130="Ja", -1*'Tillegg- Res. detaljert GoF'!$F132, 0)</f>
        <v>0</v>
      </c>
      <c r="J132" s="330">
        <f>'Tillegg- Inndata GoF'!O130*'Tillegg- Inndata GoF'!P130</f>
        <v>0</v>
      </c>
      <c r="K132" s="330">
        <f>MAX(-0.75*(SUM('Tillegg- Res. detaljert GoF'!F132:J132)),-'Tillegg- Inndata GoF'!O130*'Tillegg- Inndata GoF'!Q130)</f>
        <v>0</v>
      </c>
      <c r="L132" s="330">
        <f>'Tillegg- Inndata GoF'!S130*'Tillegg- Inndata GoF'!T130</f>
        <v>0</v>
      </c>
      <c r="M132" s="330">
        <f>MAX(-0.75*(SUM('Tillegg- Res. detaljert GoF'!F132:I132,L132)),-'Tillegg- Inndata GoF'!S130*'Tillegg- Inndata GoF'!U130)</f>
        <v>0</v>
      </c>
      <c r="N132" s="331">
        <f>'Tillegg- Inndata GoF'!F130</f>
        <v>0</v>
      </c>
      <c r="O132" s="330">
        <f>'Tillegg- Inndata GoF'!O130*'Tillegg- Inndata GoF'!R130</f>
        <v>0</v>
      </c>
      <c r="P132" s="332">
        <f>'Tillegg- Inndata GoF'!S130*'Tillegg- Inndata GoF'!V130</f>
        <v>0</v>
      </c>
      <c r="Q132" s="333">
        <f>SUM(F132:J132,L132)*'Tillegg- Inndata GoF'!K130</f>
        <v>0</v>
      </c>
      <c r="R132" s="333">
        <f>(K132+M132)*'Tillegg- Inndata GoF'!K130</f>
        <v>0</v>
      </c>
      <c r="S132" s="333">
        <f>SUM(N132:P132)*'Tillegg- Inndata GoF'!K130</f>
        <v>0</v>
      </c>
      <c r="T132" s="334">
        <f>('Tillegg- Inndata GoF'!G130+'Tillegg- Inndata GoF'!O130+'Tillegg- Inndata GoF'!S130)*'Tillegg- Inndata GoF'!K130*Transport_utslipp_til_avfallshånderting_per_kg</f>
        <v>0</v>
      </c>
      <c r="U132" s="330">
        <f>IF('Tillegg- Inndata GoF'!E130 = 0, 0, 1.833*'Tillegg- Inndata GoF'!X130*'Tillegg- Inndata GoF'!K130*('Tillegg- Inndata GoF'!G130*('Tillegg- Inndata GoF'!L130*0.5+'Tillegg- Inndata GoF'!M130*0.8) + (12/44)*('Tillegg- Inndata GoF'!O130*'Tillegg- Inndata GoF'!Q130+'Tillegg- Inndata GoF'!S130*'Tillegg- Inndata GoF'!U130)))</f>
        <v>0</v>
      </c>
      <c r="V132" s="335">
        <f>IF('Tillegg- Inndata GoF'!G130 = 0, 0,  MAX(-SUM(F132:J132,L132)*'Tillegg- Inndata GoF'!L130, -0.114*IF('Tillegg- Inndata GoF'!H130 &gt; 49, _xlfn.XLOOKUP(49, År_etter_ferdigstillelse, karbon_opptak_faktor), _xlfn.XLOOKUP('Tillegg- Inndata GoF'!H130, År_etter_ferdigstillelse, karbon_opptak_faktor))*'Tillegg- Inndata GoF'!G130*'Tillegg- Inndata GoF'!L130*0.5))</f>
        <v>0</v>
      </c>
      <c r="W132" s="333">
        <f>IF('Tillegg- Inndata GoF'!G130=0,0,IF('Tillegg- Inndata GoF'!H130&gt;49,-0.064*'Tillegg- Inndata GoF'!G130*'Tillegg- Inndata GoF'!N130,-0.037*'Tillegg- Inndata GoF'!J130*'Tillegg- Inndata GoF'!N130))</f>
        <v>0</v>
      </c>
      <c r="X132" s="331" cm="1">
        <f t="array" ref="X132">IF(SUM(F132:J132,L132)=0, 0, SUM(F132:J132,L132)*(1+'Tillegg-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Y132" s="330" cm="1">
        <f t="array" ref="Y132">IF(X132=0, 0, SUM(K132,M132)*(1+'Tillegg-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Z132" s="336" cm="1">
        <f t="array" ref="Z132">IF(X132=0, 0, SUM(N132:P132)*(1+'Tillegg-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AA132" s="336" cm="1">
        <f t="array" ref="AA132">IF(X132=0, 0, ('Tillegg- Inndata GoF'!G130+'Tillegg- Inndata GoF'!O130+'Tillegg- Inndata GoF'!S130)*(1+'Tillegg- Inndata GoF'!K130)*Transport_utslipp_til_avfallshånderting_per_kg*IF('Tillegg- Inndata GoF'!H130&gt;50, 0, _xlfn.XLOOKUP('Tillegg- Inndata GoF'!H130, År_etter_ferdigstillelse, IF(VALUE(LEFT('Tillegg- Inndata GoF'!B130, 2))= 49, f_tid_x_f_tek_d_0_037_kumulativ, f_tid_x_f_tek_d_0_01_kumulativ))))</f>
        <v>0</v>
      </c>
      <c r="AB132" s="334" cm="1">
        <f t="array" ref="AB132">IF(X132=0, 0,1.833*'Tillegg- Inndata GoF'!J130*('Tillegg- Inndata GoF'!X130*_xlfn.XLOOKUP(IF('Tillegg- Inndata GoF'!I130&lt;2,'Tillegg- Inndata GoF'!H130,'Tillegg- Inndata GoF'!H130*2), År_etter_ferdigstillelse, Faktorer!$Z$7:$Z$58))*('Tillegg- Inndata GoF'!L130*0.5+'Tillegg- Inndata GoF'!M130*0.8)*_xlfn.XLOOKUP(IF('Tillegg- Inndata GoF'!I130&lt;2,'Tillegg- Inndata GoF'!H130,'Tillegg- Inndata GoF'!H130*2), År_etter_ferdigstillelse,  IF(LEFT('Tillegg- Inndata GoF'!B130, 2)= 49, f_tid_x_f_tek_d_0_037, f_tid_x_f_tek_d_0_01)))</f>
        <v>0</v>
      </c>
      <c r="AC132" s="335">
        <f>IF(('Tillegg- Inndata GoF'!G130) = 0, 0,(('Tillegg- Inndata GoF'!G130)*((AG132+AI132)*Transport_utslipp_til_avfallshånderting_per_kg)+('Tillegg- Inndata GoF'!Z130*'ZERO-B Beregning'!D232)*IF('ZERO-B Beregning'!F233=0,'ZERO-B Beregning'!D233,'ZERO-B Beregning'!F233))*_xlfn.XLOOKUP(51, År_etter_ferdigstillelse, f_tid_x_f_tek_d_0_01))</f>
        <v>0</v>
      </c>
      <c r="AD132" s="337">
        <f>IF(('Tillegg- Inndata GoF'!G130) = 0, 0,1.833*('Tillegg- Inndata GoF'!G130*('Tillegg- Inndata GoF'!L130*0.5+'Tillegg- Inndata GoF'!M130*0.8)*AG132*_xlfn.XLOOKUP(51, År_etter_ferdigstillelse,  f_tid_x_f_tek_d_0_01)))</f>
        <v>0</v>
      </c>
      <c r="AE132" s="333" cm="1">
        <f t="array" ref="AE132">IF(('Tillegg- Inndata GoF'!G130) = 0, 0,-0.8*('Tillegg- Inndata GoF'!G130)*AH132*('Tillegg- Inndata GoF'!E130/'Tillegg- Inndata GoF'!G130)*_xlfn.XLOOKUP(51, År_etter_ferdigstillelse,  IF(LEFT('Tillegg- Inndata GoF'!B130, 2)= 49, f_tid_x_f_tek_d_0_037, f_tid_x_f_tek_d_0_01)))</f>
        <v>0</v>
      </c>
      <c r="AF132" s="338" cm="1">
        <f t="array" ref="AF132">IF(('Tillegg- Inndata GoF'!G130) = 0, 0,-0.1*('Tillegg- Inndata GoF'!G130)*AI132*('Tillegg- Inndata GoF'!E130/'Tillegg- Inndata GoF'!G130)*_xlfn.XLOOKUP(51, År_etter_ferdigstillelse,  IF(LEFT('Tillegg- Inndata GoF'!B130, 2)= 49, f_tid_x_f_tek_d_0_037, f_tid_x_f_tek_d_0_01)))</f>
        <v>0</v>
      </c>
      <c r="AG132" s="572">
        <f>IF(('Tillegg- Inndata GoF'!G130) = 0, 0,'Tillegg- Inndata GoF'!X130*Faktorer!$Z$58)</f>
        <v>0</v>
      </c>
      <c r="AH132" s="573">
        <f>IF(('Tillegg- Inndata GoF'!G130) = 0, 0,'Tillegg- Inndata GoF'!Z130+('Tillegg- Inndata GoF'!X130+'Tillegg- Inndata GoF'!Y130)*(1-Faktorer!$Z$58)*0.5)</f>
        <v>0</v>
      </c>
      <c r="AI132" s="574">
        <f>IF(('Tillegg- Inndata GoF'!G130) = 0, 0,'Tillegg- Inndata GoF'!AA130+('Tillegg- Inndata GoF'!X130+'Tillegg- Inndata GoF'!Y130)*(1-Faktorer!$Z$58)*0.5)</f>
        <v>0</v>
      </c>
      <c r="AK132" s="90">
        <f t="shared" si="2"/>
        <v>0</v>
      </c>
      <c r="AL132" s="91">
        <f>'Tillegg- Res. detaljert GoF'!N132</f>
        <v>0</v>
      </c>
      <c r="AM132" s="91" t="str">
        <f>IF(F132=0,"",('Tillegg- Inndata GoF'!E132+'Tillegg- Inndata GoF'!F132)*ROUNDDOWN('Tillegg- Inndata GoF'!I132,0)*(1+'Tillegg- Inndata GoF'!K132))</f>
        <v/>
      </c>
    </row>
    <row r="133" spans="2:39">
      <c r="B133" s="327">
        <f>'Tillegg- Inndata GoF'!B131</f>
        <v>0</v>
      </c>
      <c r="C133" s="328">
        <f>'Tillegg- Inndata GoF'!C131</f>
        <v>0</v>
      </c>
      <c r="D133" s="329">
        <f>'Tillegg- Inndata GoF'!D131</f>
        <v>0</v>
      </c>
      <c r="E133" s="661" cm="1">
        <f t="array" ref="E133">SUM(IFERROR(F133:AF133,0))</f>
        <v>0</v>
      </c>
      <c r="F133" s="330">
        <f>'Tillegg- Inndata GoF'!E131</f>
        <v>0</v>
      </c>
      <c r="G133" s="330">
        <f>IF('Tillegg- Inndata GoF'!AB131="Ja", -0.8*'Tillegg- Res. detaljert GoF'!$F133, 0)</f>
        <v>0</v>
      </c>
      <c r="H133" s="330">
        <f>IF('Tillegg- Inndata GoF'!AC131="Ja", -0.4*'Tillegg- Res. detaljert GoF'!$F133, 0)</f>
        <v>0</v>
      </c>
      <c r="I133" s="330">
        <f>IF('Tillegg- Inndata GoF'!AD131="Ja", -1*'Tillegg- Res. detaljert GoF'!$F133, 0)</f>
        <v>0</v>
      </c>
      <c r="J133" s="330">
        <f>'Tillegg- Inndata GoF'!O131*'Tillegg- Inndata GoF'!P131</f>
        <v>0</v>
      </c>
      <c r="K133" s="330">
        <f>MAX(-0.75*(SUM('Tillegg- Res. detaljert GoF'!F133:J133)),-'Tillegg- Inndata GoF'!O131*'Tillegg- Inndata GoF'!Q131)</f>
        <v>0</v>
      </c>
      <c r="L133" s="330">
        <f>'Tillegg- Inndata GoF'!S131*'Tillegg- Inndata GoF'!T131</f>
        <v>0</v>
      </c>
      <c r="M133" s="330">
        <f>MAX(-0.75*(SUM('Tillegg- Res. detaljert GoF'!F133:I133,L133)),-'Tillegg- Inndata GoF'!S131*'Tillegg- Inndata GoF'!U131)</f>
        <v>0</v>
      </c>
      <c r="N133" s="331">
        <f>'Tillegg- Inndata GoF'!F131</f>
        <v>0</v>
      </c>
      <c r="O133" s="330">
        <f>'Tillegg- Inndata GoF'!O131*'Tillegg- Inndata GoF'!R131</f>
        <v>0</v>
      </c>
      <c r="P133" s="332">
        <f>'Tillegg- Inndata GoF'!S131*'Tillegg- Inndata GoF'!V131</f>
        <v>0</v>
      </c>
      <c r="Q133" s="333">
        <f>SUM(F133:J133,L133)*'Tillegg- Inndata GoF'!K131</f>
        <v>0</v>
      </c>
      <c r="R133" s="333">
        <f>(K133+M133)*'Tillegg- Inndata GoF'!K131</f>
        <v>0</v>
      </c>
      <c r="S133" s="333">
        <f>SUM(N133:P133)*'Tillegg- Inndata GoF'!K131</f>
        <v>0</v>
      </c>
      <c r="T133" s="334">
        <f>('Tillegg- Inndata GoF'!G131+'Tillegg- Inndata GoF'!O131+'Tillegg- Inndata GoF'!S131)*'Tillegg- Inndata GoF'!K131*Transport_utslipp_til_avfallshånderting_per_kg</f>
        <v>0</v>
      </c>
      <c r="U133" s="330">
        <f>IF('Tillegg- Inndata GoF'!E131 = 0, 0, 1.833*'Tillegg- Inndata GoF'!X131*'Tillegg- Inndata GoF'!K131*('Tillegg- Inndata GoF'!G131*('Tillegg- Inndata GoF'!L131*0.5+'Tillegg- Inndata GoF'!M131*0.8) + (12/44)*('Tillegg- Inndata GoF'!O131*'Tillegg- Inndata GoF'!Q131+'Tillegg- Inndata GoF'!S131*'Tillegg- Inndata GoF'!U131)))</f>
        <v>0</v>
      </c>
      <c r="V133" s="335">
        <f>IF('Tillegg- Inndata GoF'!G131 = 0, 0,  MAX(-SUM(F133:J133,L133)*'Tillegg- Inndata GoF'!L131, -0.114*IF('Tillegg- Inndata GoF'!H131 &gt; 49, _xlfn.XLOOKUP(49, År_etter_ferdigstillelse, karbon_opptak_faktor), _xlfn.XLOOKUP('Tillegg- Inndata GoF'!H131, År_etter_ferdigstillelse, karbon_opptak_faktor))*'Tillegg- Inndata GoF'!G131*'Tillegg- Inndata GoF'!L131*0.5))</f>
        <v>0</v>
      </c>
      <c r="W133" s="333">
        <f>IF('Tillegg- Inndata GoF'!G131=0,0,IF('Tillegg- Inndata GoF'!H131&gt;49,-0.064*'Tillegg- Inndata GoF'!G131*'Tillegg- Inndata GoF'!N131,-0.037*'Tillegg- Inndata GoF'!J131*'Tillegg- Inndata GoF'!N131))</f>
        <v>0</v>
      </c>
      <c r="X133" s="331" cm="1">
        <f t="array" ref="X133">IF(SUM(F133:J133,L133)=0, 0, SUM(F133:J133,L133)*(1+'Tillegg-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Y133" s="330" cm="1">
        <f t="array" ref="Y133">IF(X133=0, 0, SUM(K133,M133)*(1+'Tillegg-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Z133" s="336" cm="1">
        <f t="array" ref="Z133">IF(X133=0, 0, SUM(N133:P133)*(1+'Tillegg-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AA133" s="336" cm="1">
        <f t="array" ref="AA133">IF(X133=0, 0, ('Tillegg- Inndata GoF'!G131+'Tillegg- Inndata GoF'!O131+'Tillegg- Inndata GoF'!S131)*(1+'Tillegg- Inndata GoF'!K131)*Transport_utslipp_til_avfallshånderting_per_kg*IF('Tillegg- Inndata GoF'!H131&gt;50, 0, _xlfn.XLOOKUP('Tillegg- Inndata GoF'!H131, År_etter_ferdigstillelse, IF(VALUE(LEFT('Tillegg- Inndata GoF'!B131, 2))= 49, f_tid_x_f_tek_d_0_037_kumulativ, f_tid_x_f_tek_d_0_01_kumulativ))))</f>
        <v>0</v>
      </c>
      <c r="AB133" s="334" cm="1">
        <f t="array" ref="AB133">IF(X133=0, 0,1.833*'Tillegg- Inndata GoF'!J131*('Tillegg- Inndata GoF'!X131*_xlfn.XLOOKUP(IF('Tillegg- Inndata GoF'!I131&lt;2,'Tillegg- Inndata GoF'!H131,'Tillegg- Inndata GoF'!H131*2), År_etter_ferdigstillelse, Faktorer!$Z$7:$Z$58))*('Tillegg- Inndata GoF'!L131*0.5+'Tillegg- Inndata GoF'!M131*0.8)*_xlfn.XLOOKUP(IF('Tillegg- Inndata GoF'!I131&lt;2,'Tillegg- Inndata GoF'!H131,'Tillegg- Inndata GoF'!H131*2), År_etter_ferdigstillelse,  IF(LEFT('Tillegg- Inndata GoF'!B131, 2)= 49, f_tid_x_f_tek_d_0_037, f_tid_x_f_tek_d_0_01)))</f>
        <v>0</v>
      </c>
      <c r="AC133" s="335">
        <f>IF(('Tillegg- Inndata GoF'!G131) = 0, 0,(('Tillegg- Inndata GoF'!G131)*((AG133+AI133)*Transport_utslipp_til_avfallshånderting_per_kg)+('Tillegg- Inndata GoF'!Z131*'ZERO-B Beregning'!D233)*IF('ZERO-B Beregning'!F234=0,'ZERO-B Beregning'!D234,'ZERO-B Beregning'!F234))*_xlfn.XLOOKUP(51, År_etter_ferdigstillelse, f_tid_x_f_tek_d_0_01))</f>
        <v>0</v>
      </c>
      <c r="AD133" s="337">
        <f>IF(('Tillegg- Inndata GoF'!G131) = 0, 0,1.833*('Tillegg- Inndata GoF'!G131*('Tillegg- Inndata GoF'!L131*0.5+'Tillegg- Inndata GoF'!M131*0.8)*AG133*_xlfn.XLOOKUP(51, År_etter_ferdigstillelse,  f_tid_x_f_tek_d_0_01)))</f>
        <v>0</v>
      </c>
      <c r="AE133" s="333" cm="1">
        <f t="array" ref="AE133">IF(('Tillegg- Inndata GoF'!G131) = 0, 0,-0.8*('Tillegg- Inndata GoF'!G131)*AH133*('Tillegg- Inndata GoF'!E131/'Tillegg- Inndata GoF'!G131)*_xlfn.XLOOKUP(51, År_etter_ferdigstillelse,  IF(LEFT('Tillegg- Inndata GoF'!B131, 2)= 49, f_tid_x_f_tek_d_0_037, f_tid_x_f_tek_d_0_01)))</f>
        <v>0</v>
      </c>
      <c r="AF133" s="338" cm="1">
        <f t="array" ref="AF133">IF(('Tillegg- Inndata GoF'!G131) = 0, 0,-0.1*('Tillegg- Inndata GoF'!G131)*AI133*('Tillegg- Inndata GoF'!E131/'Tillegg- Inndata GoF'!G131)*_xlfn.XLOOKUP(51, År_etter_ferdigstillelse,  IF(LEFT('Tillegg- Inndata GoF'!B131, 2)= 49, f_tid_x_f_tek_d_0_037, f_tid_x_f_tek_d_0_01)))</f>
        <v>0</v>
      </c>
      <c r="AG133" s="572">
        <f>IF(('Tillegg- Inndata GoF'!G131) = 0, 0,'Tillegg- Inndata GoF'!X131*Faktorer!$Z$58)</f>
        <v>0</v>
      </c>
      <c r="AH133" s="573">
        <f>IF(('Tillegg- Inndata GoF'!G131) = 0, 0,'Tillegg- Inndata GoF'!Z131+('Tillegg- Inndata GoF'!X131+'Tillegg- Inndata GoF'!Y131)*(1-Faktorer!$Z$58)*0.5)</f>
        <v>0</v>
      </c>
      <c r="AI133" s="574">
        <f>IF(('Tillegg- Inndata GoF'!G131) = 0, 0,'Tillegg- Inndata GoF'!AA131+('Tillegg- Inndata GoF'!X131+'Tillegg- Inndata GoF'!Y131)*(1-Faktorer!$Z$58)*0.5)</f>
        <v>0</v>
      </c>
      <c r="AK133" s="90">
        <f t="shared" si="2"/>
        <v>0</v>
      </c>
      <c r="AL133" s="91">
        <f>'Tillegg- Res. detaljert GoF'!N133</f>
        <v>0</v>
      </c>
      <c r="AM133" s="91" t="str">
        <f>IF(F133=0,"",('Tillegg- Inndata GoF'!E133+'Tillegg- Inndata GoF'!F133)*ROUNDDOWN('Tillegg- Inndata GoF'!I133,0)*(1+'Tillegg- Inndata GoF'!K133))</f>
        <v/>
      </c>
    </row>
    <row r="134" spans="2:39">
      <c r="B134" s="327">
        <f>'Tillegg- Inndata GoF'!B132</f>
        <v>0</v>
      </c>
      <c r="C134" s="328">
        <f>'Tillegg- Inndata GoF'!C132</f>
        <v>0</v>
      </c>
      <c r="D134" s="329">
        <f>'Tillegg- Inndata GoF'!D132</f>
        <v>0</v>
      </c>
      <c r="E134" s="661" cm="1">
        <f t="array" ref="E134">SUM(IFERROR(F134:AF134,0))</f>
        <v>0</v>
      </c>
      <c r="F134" s="330">
        <f>'Tillegg- Inndata GoF'!E132</f>
        <v>0</v>
      </c>
      <c r="G134" s="330">
        <f>IF('Tillegg- Inndata GoF'!AB132="Ja", -0.8*'Tillegg- Res. detaljert GoF'!$F134, 0)</f>
        <v>0</v>
      </c>
      <c r="H134" s="330">
        <f>IF('Tillegg- Inndata GoF'!AC132="Ja", -0.4*'Tillegg- Res. detaljert GoF'!$F134, 0)</f>
        <v>0</v>
      </c>
      <c r="I134" s="330">
        <f>IF('Tillegg- Inndata GoF'!AD132="Ja", -1*'Tillegg- Res. detaljert GoF'!$F134, 0)</f>
        <v>0</v>
      </c>
      <c r="J134" s="330">
        <f>'Tillegg- Inndata GoF'!O132*'Tillegg- Inndata GoF'!P132</f>
        <v>0</v>
      </c>
      <c r="K134" s="330">
        <f>MAX(-0.75*(SUM('Tillegg- Res. detaljert GoF'!F134:J134)),-'Tillegg- Inndata GoF'!O132*'Tillegg- Inndata GoF'!Q132)</f>
        <v>0</v>
      </c>
      <c r="L134" s="330">
        <f>'Tillegg- Inndata GoF'!S132*'Tillegg- Inndata GoF'!T132</f>
        <v>0</v>
      </c>
      <c r="M134" s="330">
        <f>MAX(-0.75*(SUM('Tillegg- Res. detaljert GoF'!F134:I134,L134)),-'Tillegg- Inndata GoF'!S132*'Tillegg- Inndata GoF'!U132)</f>
        <v>0</v>
      </c>
      <c r="N134" s="331">
        <f>'Tillegg- Inndata GoF'!F132</f>
        <v>0</v>
      </c>
      <c r="O134" s="330">
        <f>'Tillegg- Inndata GoF'!O132*'Tillegg- Inndata GoF'!R132</f>
        <v>0</v>
      </c>
      <c r="P134" s="332">
        <f>'Tillegg- Inndata GoF'!S132*'Tillegg- Inndata GoF'!V132</f>
        <v>0</v>
      </c>
      <c r="Q134" s="333">
        <f>SUM(F134:J134,L134)*'Tillegg- Inndata GoF'!K132</f>
        <v>0</v>
      </c>
      <c r="R134" s="333">
        <f>(K134+M134)*'Tillegg- Inndata GoF'!K132</f>
        <v>0</v>
      </c>
      <c r="S134" s="333">
        <f>SUM(N134:P134)*'Tillegg- Inndata GoF'!K132</f>
        <v>0</v>
      </c>
      <c r="T134" s="334">
        <f>('Tillegg- Inndata GoF'!G132+'Tillegg- Inndata GoF'!O132+'Tillegg- Inndata GoF'!S132)*'Tillegg- Inndata GoF'!K132*Transport_utslipp_til_avfallshånderting_per_kg</f>
        <v>0</v>
      </c>
      <c r="U134" s="330">
        <f>IF('Tillegg- Inndata GoF'!E132 = 0, 0, 1.833*'Tillegg- Inndata GoF'!X132*'Tillegg- Inndata GoF'!K132*('Tillegg- Inndata GoF'!G132*('Tillegg- Inndata GoF'!L132*0.5+'Tillegg- Inndata GoF'!M132*0.8) + (12/44)*('Tillegg- Inndata GoF'!O132*'Tillegg- Inndata GoF'!Q132+'Tillegg- Inndata GoF'!S132*'Tillegg- Inndata GoF'!U132)))</f>
        <v>0</v>
      </c>
      <c r="V134" s="335">
        <f>IF('Tillegg- Inndata GoF'!G132 = 0, 0,  MAX(-SUM(F134:J134,L134)*'Tillegg- Inndata GoF'!L132, -0.114*IF('Tillegg- Inndata GoF'!H132 &gt; 49, _xlfn.XLOOKUP(49, År_etter_ferdigstillelse, karbon_opptak_faktor), _xlfn.XLOOKUP('Tillegg- Inndata GoF'!H132, År_etter_ferdigstillelse, karbon_opptak_faktor))*'Tillegg- Inndata GoF'!G132*'Tillegg- Inndata GoF'!L132*0.5))</f>
        <v>0</v>
      </c>
      <c r="W134" s="333">
        <f>IF('Tillegg- Inndata GoF'!G132=0,0,IF('Tillegg- Inndata GoF'!H132&gt;49,-0.064*'Tillegg- Inndata GoF'!G132*'Tillegg- Inndata GoF'!N132,-0.037*'Tillegg- Inndata GoF'!J132*'Tillegg- Inndata GoF'!N132))</f>
        <v>0</v>
      </c>
      <c r="X134" s="331" cm="1">
        <f t="array" ref="X134">IF(SUM(F134:J134,L134)=0, 0, SUM(F134:J134,L134)*(1+'Tillegg-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Y134" s="330" cm="1">
        <f t="array" ref="Y134">IF(X134=0, 0, SUM(K134,M134)*(1+'Tillegg-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Z134" s="336" cm="1">
        <f t="array" ref="Z134">IF(X134=0, 0, SUM(N134:P134)*(1+'Tillegg-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AA134" s="336" cm="1">
        <f t="array" ref="AA134">IF(X134=0, 0, ('Tillegg- Inndata GoF'!G132+'Tillegg- Inndata GoF'!O132+'Tillegg- Inndata GoF'!S132)*(1+'Tillegg- Inndata GoF'!K132)*Transport_utslipp_til_avfallshånderting_per_kg*IF('Tillegg- Inndata GoF'!H132&gt;50, 0, _xlfn.XLOOKUP('Tillegg- Inndata GoF'!H132, År_etter_ferdigstillelse, IF(VALUE(LEFT('Tillegg- Inndata GoF'!B132, 2))= 49, f_tid_x_f_tek_d_0_037_kumulativ, f_tid_x_f_tek_d_0_01_kumulativ))))</f>
        <v>0</v>
      </c>
      <c r="AB134" s="334" cm="1">
        <f t="array" ref="AB134">IF(X134=0, 0,1.833*'Tillegg- Inndata GoF'!J132*('Tillegg- Inndata GoF'!X132*_xlfn.XLOOKUP(IF('Tillegg- Inndata GoF'!I132&lt;2,'Tillegg- Inndata GoF'!H132,'Tillegg- Inndata GoF'!H132*2), År_etter_ferdigstillelse, Faktorer!$Z$7:$Z$58))*('Tillegg- Inndata GoF'!L132*0.5+'Tillegg- Inndata GoF'!M132*0.8)*_xlfn.XLOOKUP(IF('Tillegg- Inndata GoF'!I132&lt;2,'Tillegg- Inndata GoF'!H132,'Tillegg- Inndata GoF'!H132*2), År_etter_ferdigstillelse,  IF(LEFT('Tillegg- Inndata GoF'!B132, 2)= 49, f_tid_x_f_tek_d_0_037, f_tid_x_f_tek_d_0_01)))</f>
        <v>0</v>
      </c>
      <c r="AC134" s="335">
        <f>IF(('Tillegg- Inndata GoF'!G132) = 0, 0,(('Tillegg- Inndata GoF'!G132)*((AG134+AI134)*Transport_utslipp_til_avfallshånderting_per_kg)+('Tillegg- Inndata GoF'!Z132*'ZERO-B Beregning'!D234)*IF('ZERO-B Beregning'!F235=0,'ZERO-B Beregning'!D235,'ZERO-B Beregning'!F235))*_xlfn.XLOOKUP(51, År_etter_ferdigstillelse, f_tid_x_f_tek_d_0_01))</f>
        <v>0</v>
      </c>
      <c r="AD134" s="337">
        <f>IF(('Tillegg- Inndata GoF'!G132) = 0, 0,1.833*('Tillegg- Inndata GoF'!G132*('Tillegg- Inndata GoF'!L132*0.5+'Tillegg- Inndata GoF'!M132*0.8)*AG134*_xlfn.XLOOKUP(51, År_etter_ferdigstillelse,  f_tid_x_f_tek_d_0_01)))</f>
        <v>0</v>
      </c>
      <c r="AE134" s="333" cm="1">
        <f t="array" ref="AE134">IF(('Tillegg- Inndata GoF'!G132) = 0, 0,-0.8*('Tillegg- Inndata GoF'!G132)*AH134*('Tillegg- Inndata GoF'!E132/'Tillegg- Inndata GoF'!G132)*_xlfn.XLOOKUP(51, År_etter_ferdigstillelse,  IF(LEFT('Tillegg- Inndata GoF'!B132, 2)= 49, f_tid_x_f_tek_d_0_037, f_tid_x_f_tek_d_0_01)))</f>
        <v>0</v>
      </c>
      <c r="AF134" s="338" cm="1">
        <f t="array" ref="AF134">IF(('Tillegg- Inndata GoF'!G132) = 0, 0,-0.1*('Tillegg- Inndata GoF'!G132)*AI134*('Tillegg- Inndata GoF'!E132/'Tillegg- Inndata GoF'!G132)*_xlfn.XLOOKUP(51, År_etter_ferdigstillelse,  IF(LEFT('Tillegg- Inndata GoF'!B132, 2)= 49, f_tid_x_f_tek_d_0_037, f_tid_x_f_tek_d_0_01)))</f>
        <v>0</v>
      </c>
      <c r="AG134" s="572">
        <f>IF(('Tillegg- Inndata GoF'!G132) = 0, 0,'Tillegg- Inndata GoF'!X132*Faktorer!$Z$58)</f>
        <v>0</v>
      </c>
      <c r="AH134" s="573">
        <f>IF(('Tillegg- Inndata GoF'!G132) = 0, 0,'Tillegg- Inndata GoF'!Z132+('Tillegg- Inndata GoF'!X132+'Tillegg- Inndata GoF'!Y132)*(1-Faktorer!$Z$58)*0.5)</f>
        <v>0</v>
      </c>
      <c r="AI134" s="574">
        <f>IF(('Tillegg- Inndata GoF'!G132) = 0, 0,'Tillegg- Inndata GoF'!AA132+('Tillegg- Inndata GoF'!X132+'Tillegg- Inndata GoF'!Y132)*(1-Faktorer!$Z$58)*0.5)</f>
        <v>0</v>
      </c>
      <c r="AK134" s="90">
        <f t="shared" si="2"/>
        <v>0</v>
      </c>
      <c r="AL134" s="91">
        <f>'Tillegg- Res. detaljert GoF'!N134</f>
        <v>0</v>
      </c>
      <c r="AM134" s="91" t="str">
        <f>IF(F134=0,"",('Tillegg- Inndata GoF'!E134+'Tillegg- Inndata GoF'!F134)*ROUNDDOWN('Tillegg- Inndata GoF'!I134,0)*(1+'Tillegg- Inndata GoF'!K134))</f>
        <v/>
      </c>
    </row>
    <row r="135" spans="2:39">
      <c r="B135" s="327">
        <f>'Tillegg- Inndata GoF'!B133</f>
        <v>0</v>
      </c>
      <c r="C135" s="328">
        <f>'Tillegg- Inndata GoF'!C133</f>
        <v>0</v>
      </c>
      <c r="D135" s="329">
        <f>'Tillegg- Inndata GoF'!D133</f>
        <v>0</v>
      </c>
      <c r="E135" s="661" cm="1">
        <f t="array" ref="E135">SUM(IFERROR(F135:AF135,0))</f>
        <v>0</v>
      </c>
      <c r="F135" s="330">
        <f>'Tillegg- Inndata GoF'!E133</f>
        <v>0</v>
      </c>
      <c r="G135" s="330">
        <f>IF('Tillegg- Inndata GoF'!AB133="Ja", -0.8*'Tillegg- Res. detaljert GoF'!$F135, 0)</f>
        <v>0</v>
      </c>
      <c r="H135" s="330">
        <f>IF('Tillegg- Inndata GoF'!AC133="Ja", -0.4*'Tillegg- Res. detaljert GoF'!$F135, 0)</f>
        <v>0</v>
      </c>
      <c r="I135" s="330">
        <f>IF('Tillegg- Inndata GoF'!AD133="Ja", -1*'Tillegg- Res. detaljert GoF'!$F135, 0)</f>
        <v>0</v>
      </c>
      <c r="J135" s="330">
        <f>'Tillegg- Inndata GoF'!O133*'Tillegg- Inndata GoF'!P133</f>
        <v>0</v>
      </c>
      <c r="K135" s="330">
        <f>MAX(-0.75*(SUM('Tillegg- Res. detaljert GoF'!F135:J135)),-'Tillegg- Inndata GoF'!O133*'Tillegg- Inndata GoF'!Q133)</f>
        <v>0</v>
      </c>
      <c r="L135" s="330">
        <f>'Tillegg- Inndata GoF'!S133*'Tillegg- Inndata GoF'!T133</f>
        <v>0</v>
      </c>
      <c r="M135" s="330">
        <f>MAX(-0.75*(SUM('Tillegg- Res. detaljert GoF'!F135:I135,L135)),-'Tillegg- Inndata GoF'!S133*'Tillegg- Inndata GoF'!U133)</f>
        <v>0</v>
      </c>
      <c r="N135" s="331">
        <f>'Tillegg- Inndata GoF'!F133</f>
        <v>0</v>
      </c>
      <c r="O135" s="330">
        <f>'Tillegg- Inndata GoF'!O133*'Tillegg- Inndata GoF'!R133</f>
        <v>0</v>
      </c>
      <c r="P135" s="332">
        <f>'Tillegg- Inndata GoF'!S133*'Tillegg- Inndata GoF'!V133</f>
        <v>0</v>
      </c>
      <c r="Q135" s="333">
        <f>SUM(F135:J135,L135)*'Tillegg- Inndata GoF'!K133</f>
        <v>0</v>
      </c>
      <c r="R135" s="333">
        <f>(K135+M135)*'Tillegg- Inndata GoF'!K133</f>
        <v>0</v>
      </c>
      <c r="S135" s="333">
        <f>SUM(N135:P135)*'Tillegg- Inndata GoF'!K133</f>
        <v>0</v>
      </c>
      <c r="T135" s="334">
        <f>('Tillegg- Inndata GoF'!G133+'Tillegg- Inndata GoF'!O133+'Tillegg- Inndata GoF'!S133)*'Tillegg- Inndata GoF'!K133*Transport_utslipp_til_avfallshånderting_per_kg</f>
        <v>0</v>
      </c>
      <c r="U135" s="330">
        <f>IF('Tillegg- Inndata GoF'!E133 = 0, 0, 1.833*'Tillegg- Inndata GoF'!X133*'Tillegg- Inndata GoF'!K133*('Tillegg- Inndata GoF'!G133*('Tillegg- Inndata GoF'!L133*0.5+'Tillegg- Inndata GoF'!M133*0.8) + (12/44)*('Tillegg- Inndata GoF'!O133*'Tillegg- Inndata GoF'!Q133+'Tillegg- Inndata GoF'!S133*'Tillegg- Inndata GoF'!U133)))</f>
        <v>0</v>
      </c>
      <c r="V135" s="335">
        <f>IF('Tillegg- Inndata GoF'!G133 = 0, 0,  MAX(-SUM(F135:J135,L135)*'Tillegg- Inndata GoF'!L133, -0.114*IF('Tillegg- Inndata GoF'!H133 &gt; 49, _xlfn.XLOOKUP(49, År_etter_ferdigstillelse, karbon_opptak_faktor), _xlfn.XLOOKUP('Tillegg- Inndata GoF'!H133, År_etter_ferdigstillelse, karbon_opptak_faktor))*'Tillegg- Inndata GoF'!G133*'Tillegg- Inndata GoF'!L133*0.5))</f>
        <v>0</v>
      </c>
      <c r="W135" s="333">
        <f>IF('Tillegg- Inndata GoF'!G133=0,0,IF('Tillegg- Inndata GoF'!H133&gt;49,-0.064*'Tillegg- Inndata GoF'!G133*'Tillegg- Inndata GoF'!N133,-0.037*'Tillegg- Inndata GoF'!J133*'Tillegg- Inndata GoF'!N133))</f>
        <v>0</v>
      </c>
      <c r="X135" s="331" cm="1">
        <f t="array" ref="X135">IF(SUM(F135:J135,L135)=0, 0, SUM(F135:J135,L135)*(1+'Tillegg-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Y135" s="330" cm="1">
        <f t="array" ref="Y135">IF(X135=0, 0, SUM(K135,M135)*(1+'Tillegg-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Z135" s="336" cm="1">
        <f t="array" ref="Z135">IF(X135=0, 0, SUM(N135:P135)*(1+'Tillegg-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AA135" s="336" cm="1">
        <f t="array" ref="AA135">IF(X135=0, 0, ('Tillegg- Inndata GoF'!G133+'Tillegg- Inndata GoF'!O133+'Tillegg- Inndata GoF'!S133)*(1+'Tillegg- Inndata GoF'!K133)*Transport_utslipp_til_avfallshånderting_per_kg*IF('Tillegg- Inndata GoF'!H133&gt;50, 0, _xlfn.XLOOKUP('Tillegg- Inndata GoF'!H133, År_etter_ferdigstillelse, IF(VALUE(LEFT('Tillegg- Inndata GoF'!B133, 2))= 49, f_tid_x_f_tek_d_0_037_kumulativ, f_tid_x_f_tek_d_0_01_kumulativ))))</f>
        <v>0</v>
      </c>
      <c r="AB135" s="334" cm="1">
        <f t="array" ref="AB135">IF(X135=0, 0,1.833*'Tillegg- Inndata GoF'!J133*('Tillegg- Inndata GoF'!X133*_xlfn.XLOOKUP(IF('Tillegg- Inndata GoF'!I133&lt;2,'Tillegg- Inndata GoF'!H133,'Tillegg- Inndata GoF'!H133*2), År_etter_ferdigstillelse, Faktorer!$Z$7:$Z$58))*('Tillegg- Inndata GoF'!L133*0.5+'Tillegg- Inndata GoF'!M133*0.8)*_xlfn.XLOOKUP(IF('Tillegg- Inndata GoF'!I133&lt;2,'Tillegg- Inndata GoF'!H133,'Tillegg- Inndata GoF'!H133*2), År_etter_ferdigstillelse,  IF(LEFT('Tillegg- Inndata GoF'!B133, 2)= 49, f_tid_x_f_tek_d_0_037, f_tid_x_f_tek_d_0_01)))</f>
        <v>0</v>
      </c>
      <c r="AC135" s="335">
        <f>IF(('Tillegg- Inndata GoF'!G133) = 0, 0,(('Tillegg- Inndata GoF'!G133)*((AG135+AI135)*Transport_utslipp_til_avfallshånderting_per_kg)+('Tillegg- Inndata GoF'!Z133*'ZERO-B Beregning'!D235)*IF('ZERO-B Beregning'!F236=0,'ZERO-B Beregning'!D236,'ZERO-B Beregning'!F236))*_xlfn.XLOOKUP(51, År_etter_ferdigstillelse, f_tid_x_f_tek_d_0_01))</f>
        <v>0</v>
      </c>
      <c r="AD135" s="337">
        <f>IF(('Tillegg- Inndata GoF'!G133) = 0, 0,1.833*('Tillegg- Inndata GoF'!G133*('Tillegg- Inndata GoF'!L133*0.5+'Tillegg- Inndata GoF'!M133*0.8)*AG135*_xlfn.XLOOKUP(51, År_etter_ferdigstillelse,  f_tid_x_f_tek_d_0_01)))</f>
        <v>0</v>
      </c>
      <c r="AE135" s="333" cm="1">
        <f t="array" ref="AE135">IF(('Tillegg- Inndata GoF'!G133) = 0, 0,-0.8*('Tillegg- Inndata GoF'!G133)*AH135*('Tillegg- Inndata GoF'!E133/'Tillegg- Inndata GoF'!G133)*_xlfn.XLOOKUP(51, År_etter_ferdigstillelse,  IF(LEFT('Tillegg- Inndata GoF'!B133, 2)= 49, f_tid_x_f_tek_d_0_037, f_tid_x_f_tek_d_0_01)))</f>
        <v>0</v>
      </c>
      <c r="AF135" s="338" cm="1">
        <f t="array" ref="AF135">IF(('Tillegg- Inndata GoF'!G133) = 0, 0,-0.1*('Tillegg- Inndata GoF'!G133)*AI135*('Tillegg- Inndata GoF'!E133/'Tillegg- Inndata GoF'!G133)*_xlfn.XLOOKUP(51, År_etter_ferdigstillelse,  IF(LEFT('Tillegg- Inndata GoF'!B133, 2)= 49, f_tid_x_f_tek_d_0_037, f_tid_x_f_tek_d_0_01)))</f>
        <v>0</v>
      </c>
      <c r="AG135" s="572">
        <f>IF(('Tillegg- Inndata GoF'!G133) = 0, 0,'Tillegg- Inndata GoF'!X133*Faktorer!$Z$58)</f>
        <v>0</v>
      </c>
      <c r="AH135" s="573">
        <f>IF(('Tillegg- Inndata GoF'!G133) = 0, 0,'Tillegg- Inndata GoF'!Z133+('Tillegg- Inndata GoF'!X133+'Tillegg- Inndata GoF'!Y133)*(1-Faktorer!$Z$58)*0.5)</f>
        <v>0</v>
      </c>
      <c r="AI135" s="574">
        <f>IF(('Tillegg- Inndata GoF'!G133) = 0, 0,'Tillegg- Inndata GoF'!AA133+('Tillegg- Inndata GoF'!X133+'Tillegg- Inndata GoF'!Y133)*(1-Faktorer!$Z$58)*0.5)</f>
        <v>0</v>
      </c>
      <c r="AK135" s="90">
        <f t="shared" si="2"/>
        <v>0</v>
      </c>
      <c r="AL135" s="91">
        <f>'Tillegg- Res. detaljert GoF'!N135</f>
        <v>0</v>
      </c>
      <c r="AM135" s="91" t="str">
        <f>IF(F135=0,"",('Tillegg- Inndata GoF'!E135+'Tillegg- Inndata GoF'!F135)*ROUNDDOWN('Tillegg- Inndata GoF'!I135,0)*(1+'Tillegg- Inndata GoF'!K135))</f>
        <v/>
      </c>
    </row>
    <row r="136" spans="2:39">
      <c r="B136" s="327">
        <f>'Tillegg- Inndata GoF'!B134</f>
        <v>0</v>
      </c>
      <c r="C136" s="328">
        <f>'Tillegg- Inndata GoF'!C134</f>
        <v>0</v>
      </c>
      <c r="D136" s="329">
        <f>'Tillegg- Inndata GoF'!D134</f>
        <v>0</v>
      </c>
      <c r="E136" s="661" cm="1">
        <f t="array" ref="E136">SUM(IFERROR(F136:AF136,0))</f>
        <v>0</v>
      </c>
      <c r="F136" s="330">
        <f>'Tillegg- Inndata GoF'!E134</f>
        <v>0</v>
      </c>
      <c r="G136" s="330">
        <f>IF('Tillegg- Inndata GoF'!AB134="Ja", -0.8*'Tillegg- Res. detaljert GoF'!$F136, 0)</f>
        <v>0</v>
      </c>
      <c r="H136" s="330">
        <f>IF('Tillegg- Inndata GoF'!AC134="Ja", -0.4*'Tillegg- Res. detaljert GoF'!$F136, 0)</f>
        <v>0</v>
      </c>
      <c r="I136" s="330">
        <f>IF('Tillegg- Inndata GoF'!AD134="Ja", -1*'Tillegg- Res. detaljert GoF'!$F136, 0)</f>
        <v>0</v>
      </c>
      <c r="J136" s="330">
        <f>'Tillegg- Inndata GoF'!O134*'Tillegg- Inndata GoF'!P134</f>
        <v>0</v>
      </c>
      <c r="K136" s="330">
        <f>MAX(-0.75*(SUM('Tillegg- Res. detaljert GoF'!F136:J136)),-'Tillegg- Inndata GoF'!O134*'Tillegg- Inndata GoF'!Q134)</f>
        <v>0</v>
      </c>
      <c r="L136" s="330">
        <f>'Tillegg- Inndata GoF'!S134*'Tillegg- Inndata GoF'!T134</f>
        <v>0</v>
      </c>
      <c r="M136" s="330">
        <f>MAX(-0.75*(SUM('Tillegg- Res. detaljert GoF'!F136:I136,L136)),-'Tillegg- Inndata GoF'!S134*'Tillegg- Inndata GoF'!U134)</f>
        <v>0</v>
      </c>
      <c r="N136" s="331">
        <f>'Tillegg- Inndata GoF'!F134</f>
        <v>0</v>
      </c>
      <c r="O136" s="330">
        <f>'Tillegg- Inndata GoF'!O134*'Tillegg- Inndata GoF'!R134</f>
        <v>0</v>
      </c>
      <c r="P136" s="332">
        <f>'Tillegg- Inndata GoF'!S134*'Tillegg- Inndata GoF'!V134</f>
        <v>0</v>
      </c>
      <c r="Q136" s="333">
        <f>SUM(F136:J136,L136)*'Tillegg- Inndata GoF'!K134</f>
        <v>0</v>
      </c>
      <c r="R136" s="333">
        <f>(K136+M136)*'Tillegg- Inndata GoF'!K134</f>
        <v>0</v>
      </c>
      <c r="S136" s="333">
        <f>SUM(N136:P136)*'Tillegg- Inndata GoF'!K134</f>
        <v>0</v>
      </c>
      <c r="T136" s="334">
        <f>('Tillegg- Inndata GoF'!G134+'Tillegg- Inndata GoF'!O134+'Tillegg- Inndata GoF'!S134)*'Tillegg- Inndata GoF'!K134*Transport_utslipp_til_avfallshånderting_per_kg</f>
        <v>0</v>
      </c>
      <c r="U136" s="330">
        <f>IF('Tillegg- Inndata GoF'!E134 = 0, 0, 1.833*'Tillegg- Inndata GoF'!X134*'Tillegg- Inndata GoF'!K134*('Tillegg- Inndata GoF'!G134*('Tillegg- Inndata GoF'!L134*0.5+'Tillegg- Inndata GoF'!M134*0.8) + (12/44)*('Tillegg- Inndata GoF'!O134*'Tillegg- Inndata GoF'!Q134+'Tillegg- Inndata GoF'!S134*'Tillegg- Inndata GoF'!U134)))</f>
        <v>0</v>
      </c>
      <c r="V136" s="335">
        <f>IF('Tillegg- Inndata GoF'!G134 = 0, 0,  MAX(-SUM(F136:J136,L136)*'Tillegg- Inndata GoF'!L134, -0.114*IF('Tillegg- Inndata GoF'!H134 &gt; 49, _xlfn.XLOOKUP(49, År_etter_ferdigstillelse, karbon_opptak_faktor), _xlfn.XLOOKUP('Tillegg- Inndata GoF'!H134, År_etter_ferdigstillelse, karbon_opptak_faktor))*'Tillegg- Inndata GoF'!G134*'Tillegg- Inndata GoF'!L134*0.5))</f>
        <v>0</v>
      </c>
      <c r="W136" s="333">
        <f>IF('Tillegg- Inndata GoF'!G134=0,0,IF('Tillegg- Inndata GoF'!H134&gt;49,-0.064*'Tillegg- Inndata GoF'!G134*'Tillegg- Inndata GoF'!N134,-0.037*'Tillegg- Inndata GoF'!J134*'Tillegg- Inndata GoF'!N134))</f>
        <v>0</v>
      </c>
      <c r="X136" s="331" cm="1">
        <f t="array" ref="X136">IF(SUM(F136:J136,L136)=0, 0, SUM(F136:J136,L136)*(1+'Tillegg-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Y136" s="330" cm="1">
        <f t="array" ref="Y136">IF(X136=0, 0, SUM(K136,M136)*(1+'Tillegg-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Z136" s="336" cm="1">
        <f t="array" ref="Z136">IF(X136=0, 0, SUM(N136:P136)*(1+'Tillegg-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AA136" s="336" cm="1">
        <f t="array" ref="AA136">IF(X136=0, 0, ('Tillegg- Inndata GoF'!G134+'Tillegg- Inndata GoF'!O134+'Tillegg- Inndata GoF'!S134)*(1+'Tillegg- Inndata GoF'!K134)*Transport_utslipp_til_avfallshånderting_per_kg*IF('Tillegg- Inndata GoF'!H134&gt;50, 0, _xlfn.XLOOKUP('Tillegg- Inndata GoF'!H134, År_etter_ferdigstillelse, IF(VALUE(LEFT('Tillegg- Inndata GoF'!B134, 2))= 49, f_tid_x_f_tek_d_0_037_kumulativ, f_tid_x_f_tek_d_0_01_kumulativ))))</f>
        <v>0</v>
      </c>
      <c r="AB136" s="334" cm="1">
        <f t="array" ref="AB136">IF(X136=0, 0,1.833*'Tillegg- Inndata GoF'!J134*('Tillegg- Inndata GoF'!X134*_xlfn.XLOOKUP(IF('Tillegg- Inndata GoF'!I134&lt;2,'Tillegg- Inndata GoF'!H134,'Tillegg- Inndata GoF'!H134*2), År_etter_ferdigstillelse, Faktorer!$Z$7:$Z$58))*('Tillegg- Inndata GoF'!L134*0.5+'Tillegg- Inndata GoF'!M134*0.8)*_xlfn.XLOOKUP(IF('Tillegg- Inndata GoF'!I134&lt;2,'Tillegg- Inndata GoF'!H134,'Tillegg- Inndata GoF'!H134*2), År_etter_ferdigstillelse,  IF(LEFT('Tillegg- Inndata GoF'!B134, 2)= 49, f_tid_x_f_tek_d_0_037, f_tid_x_f_tek_d_0_01)))</f>
        <v>0</v>
      </c>
      <c r="AC136" s="335">
        <f>IF(('Tillegg- Inndata GoF'!G134) = 0, 0,(('Tillegg- Inndata GoF'!G134)*((AG136+AI136)*Transport_utslipp_til_avfallshånderting_per_kg)+('Tillegg- Inndata GoF'!Z134*'ZERO-B Beregning'!D236)*IF('ZERO-B Beregning'!F237=0,'ZERO-B Beregning'!D237,'ZERO-B Beregning'!F237))*_xlfn.XLOOKUP(51, År_etter_ferdigstillelse, f_tid_x_f_tek_d_0_01))</f>
        <v>0</v>
      </c>
      <c r="AD136" s="337">
        <f>IF(('Tillegg- Inndata GoF'!G134) = 0, 0,1.833*('Tillegg- Inndata GoF'!G134*('Tillegg- Inndata GoF'!L134*0.5+'Tillegg- Inndata GoF'!M134*0.8)*AG136*_xlfn.XLOOKUP(51, År_etter_ferdigstillelse,  f_tid_x_f_tek_d_0_01)))</f>
        <v>0</v>
      </c>
      <c r="AE136" s="333" cm="1">
        <f t="array" ref="AE136">IF(('Tillegg- Inndata GoF'!G134) = 0, 0,-0.8*('Tillegg- Inndata GoF'!G134)*AH136*('Tillegg- Inndata GoF'!E134/'Tillegg- Inndata GoF'!G134)*_xlfn.XLOOKUP(51, År_etter_ferdigstillelse,  IF(LEFT('Tillegg- Inndata GoF'!B134, 2)= 49, f_tid_x_f_tek_d_0_037, f_tid_x_f_tek_d_0_01)))</f>
        <v>0</v>
      </c>
      <c r="AF136" s="338" cm="1">
        <f t="array" ref="AF136">IF(('Tillegg- Inndata GoF'!G134) = 0, 0,-0.1*('Tillegg- Inndata GoF'!G134)*AI136*('Tillegg- Inndata GoF'!E134/'Tillegg- Inndata GoF'!G134)*_xlfn.XLOOKUP(51, År_etter_ferdigstillelse,  IF(LEFT('Tillegg- Inndata GoF'!B134, 2)= 49, f_tid_x_f_tek_d_0_037, f_tid_x_f_tek_d_0_01)))</f>
        <v>0</v>
      </c>
      <c r="AG136" s="572">
        <f>IF(('Tillegg- Inndata GoF'!G134) = 0, 0,'Tillegg- Inndata GoF'!X134*Faktorer!$Z$58)</f>
        <v>0</v>
      </c>
      <c r="AH136" s="573">
        <f>IF(('Tillegg- Inndata GoF'!G134) = 0, 0,'Tillegg- Inndata GoF'!Z134+('Tillegg- Inndata GoF'!X134+'Tillegg- Inndata GoF'!Y134)*(1-Faktorer!$Z$58)*0.5)</f>
        <v>0</v>
      </c>
      <c r="AI136" s="574">
        <f>IF(('Tillegg- Inndata GoF'!G134) = 0, 0,'Tillegg- Inndata GoF'!AA134+('Tillegg- Inndata GoF'!X134+'Tillegg- Inndata GoF'!Y134)*(1-Faktorer!$Z$58)*0.5)</f>
        <v>0</v>
      </c>
      <c r="AK136" s="90">
        <f t="shared" si="2"/>
        <v>0</v>
      </c>
      <c r="AL136" s="91">
        <f>'Tillegg- Res. detaljert GoF'!N136</f>
        <v>0</v>
      </c>
      <c r="AM136" s="91" t="str">
        <f>IF(F136=0,"",('Tillegg- Inndata GoF'!E136+'Tillegg- Inndata GoF'!F136)*ROUNDDOWN('Tillegg- Inndata GoF'!I136,0)*(1+'Tillegg- Inndata GoF'!K136))</f>
        <v/>
      </c>
    </row>
    <row r="137" spans="2:39">
      <c r="B137" s="327">
        <f>'Tillegg- Inndata GoF'!B135</f>
        <v>0</v>
      </c>
      <c r="C137" s="328">
        <f>'Tillegg- Inndata GoF'!C135</f>
        <v>0</v>
      </c>
      <c r="D137" s="329">
        <f>'Tillegg- Inndata GoF'!D135</f>
        <v>0</v>
      </c>
      <c r="E137" s="661" cm="1">
        <f t="array" ref="E137">SUM(IFERROR(F137:AF137,0))</f>
        <v>0</v>
      </c>
      <c r="F137" s="330">
        <f>'Tillegg- Inndata GoF'!E135</f>
        <v>0</v>
      </c>
      <c r="G137" s="330">
        <f>IF('Tillegg- Inndata GoF'!AB135="Ja", -0.8*'Tillegg- Res. detaljert GoF'!$F137, 0)</f>
        <v>0</v>
      </c>
      <c r="H137" s="330">
        <f>IF('Tillegg- Inndata GoF'!AC135="Ja", -0.4*'Tillegg- Res. detaljert GoF'!$F137, 0)</f>
        <v>0</v>
      </c>
      <c r="I137" s="330">
        <f>IF('Tillegg- Inndata GoF'!AD135="Ja", -1*'Tillegg- Res. detaljert GoF'!$F137, 0)</f>
        <v>0</v>
      </c>
      <c r="J137" s="330">
        <f>'Tillegg- Inndata GoF'!O135*'Tillegg- Inndata GoF'!P135</f>
        <v>0</v>
      </c>
      <c r="K137" s="330">
        <f>MAX(-0.75*(SUM('Tillegg- Res. detaljert GoF'!F137:J137)),-'Tillegg- Inndata GoF'!O135*'Tillegg- Inndata GoF'!Q135)</f>
        <v>0</v>
      </c>
      <c r="L137" s="330">
        <f>'Tillegg- Inndata GoF'!S135*'Tillegg- Inndata GoF'!T135</f>
        <v>0</v>
      </c>
      <c r="M137" s="330">
        <f>MAX(-0.75*(SUM('Tillegg- Res. detaljert GoF'!F137:I137,L137)),-'Tillegg- Inndata GoF'!S135*'Tillegg- Inndata GoF'!U135)</f>
        <v>0</v>
      </c>
      <c r="N137" s="331">
        <f>'Tillegg- Inndata GoF'!F135</f>
        <v>0</v>
      </c>
      <c r="O137" s="330">
        <f>'Tillegg- Inndata GoF'!O135*'Tillegg- Inndata GoF'!R135</f>
        <v>0</v>
      </c>
      <c r="P137" s="332">
        <f>'Tillegg- Inndata GoF'!S135*'Tillegg- Inndata GoF'!V135</f>
        <v>0</v>
      </c>
      <c r="Q137" s="333">
        <f>SUM(F137:J137,L137)*'Tillegg- Inndata GoF'!K135</f>
        <v>0</v>
      </c>
      <c r="R137" s="333">
        <f>(K137+M137)*'Tillegg- Inndata GoF'!K135</f>
        <v>0</v>
      </c>
      <c r="S137" s="333">
        <f>SUM(N137:P137)*'Tillegg- Inndata GoF'!K135</f>
        <v>0</v>
      </c>
      <c r="T137" s="334">
        <f>('Tillegg- Inndata GoF'!G135+'Tillegg- Inndata GoF'!O135+'Tillegg- Inndata GoF'!S135)*'Tillegg- Inndata GoF'!K135*Transport_utslipp_til_avfallshånderting_per_kg</f>
        <v>0</v>
      </c>
      <c r="U137" s="330">
        <f>IF('Tillegg- Inndata GoF'!E135 = 0, 0, 1.833*'Tillegg- Inndata GoF'!X135*'Tillegg- Inndata GoF'!K135*('Tillegg- Inndata GoF'!G135*('Tillegg- Inndata GoF'!L135*0.5+'Tillegg- Inndata GoF'!M135*0.8) + (12/44)*('Tillegg- Inndata GoF'!O135*'Tillegg- Inndata GoF'!Q135+'Tillegg- Inndata GoF'!S135*'Tillegg- Inndata GoF'!U135)))</f>
        <v>0</v>
      </c>
      <c r="V137" s="335">
        <f>IF('Tillegg- Inndata GoF'!G135 = 0, 0,  MAX(-SUM(F137:J137,L137)*'Tillegg- Inndata GoF'!L135, -0.114*IF('Tillegg- Inndata GoF'!H135 &gt; 49, _xlfn.XLOOKUP(49, År_etter_ferdigstillelse, karbon_opptak_faktor), _xlfn.XLOOKUP('Tillegg- Inndata GoF'!H135, År_etter_ferdigstillelse, karbon_opptak_faktor))*'Tillegg- Inndata GoF'!G135*'Tillegg- Inndata GoF'!L135*0.5))</f>
        <v>0</v>
      </c>
      <c r="W137" s="333">
        <f>IF('Tillegg- Inndata GoF'!G135=0,0,IF('Tillegg- Inndata GoF'!H135&gt;49,-0.064*'Tillegg- Inndata GoF'!G135*'Tillegg- Inndata GoF'!N135,-0.037*'Tillegg- Inndata GoF'!J135*'Tillegg- Inndata GoF'!N135))</f>
        <v>0</v>
      </c>
      <c r="X137" s="331" cm="1">
        <f t="array" ref="X137">IF(SUM(F137:J137,L137)=0, 0, SUM(F137:J137,L137)*(1+'Tillegg-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Y137" s="330" cm="1">
        <f t="array" ref="Y137">IF(X137=0, 0, SUM(K137,M137)*(1+'Tillegg-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Z137" s="336" cm="1">
        <f t="array" ref="Z137">IF(X137=0, 0, SUM(N137:P137)*(1+'Tillegg-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AA137" s="336" cm="1">
        <f t="array" ref="AA137">IF(X137=0, 0, ('Tillegg- Inndata GoF'!G135+'Tillegg- Inndata GoF'!O135+'Tillegg- Inndata GoF'!S135)*(1+'Tillegg- Inndata GoF'!K135)*Transport_utslipp_til_avfallshånderting_per_kg*IF('Tillegg- Inndata GoF'!H135&gt;50, 0, _xlfn.XLOOKUP('Tillegg- Inndata GoF'!H135, År_etter_ferdigstillelse, IF(VALUE(LEFT('Tillegg- Inndata GoF'!B135, 2))= 49, f_tid_x_f_tek_d_0_037_kumulativ, f_tid_x_f_tek_d_0_01_kumulativ))))</f>
        <v>0</v>
      </c>
      <c r="AB137" s="334" cm="1">
        <f t="array" ref="AB137">IF(X137=0, 0,1.833*'Tillegg- Inndata GoF'!J135*('Tillegg- Inndata GoF'!X135*_xlfn.XLOOKUP(IF('Tillegg- Inndata GoF'!I135&lt;2,'Tillegg- Inndata GoF'!H135,'Tillegg- Inndata GoF'!H135*2), År_etter_ferdigstillelse, Faktorer!$Z$7:$Z$58))*('Tillegg- Inndata GoF'!L135*0.5+'Tillegg- Inndata GoF'!M135*0.8)*_xlfn.XLOOKUP(IF('Tillegg- Inndata GoF'!I135&lt;2,'Tillegg- Inndata GoF'!H135,'Tillegg- Inndata GoF'!H135*2), År_etter_ferdigstillelse,  IF(LEFT('Tillegg- Inndata GoF'!B135, 2)= 49, f_tid_x_f_tek_d_0_037, f_tid_x_f_tek_d_0_01)))</f>
        <v>0</v>
      </c>
      <c r="AC137" s="335">
        <f>IF(('Tillegg- Inndata GoF'!G135) = 0, 0,(('Tillegg- Inndata GoF'!G135)*((AG137+AI137)*Transport_utslipp_til_avfallshånderting_per_kg)+('Tillegg- Inndata GoF'!Z135*'ZERO-B Beregning'!D237)*IF('ZERO-B Beregning'!F238=0,'ZERO-B Beregning'!D238,'ZERO-B Beregning'!F238))*_xlfn.XLOOKUP(51, År_etter_ferdigstillelse, f_tid_x_f_tek_d_0_01))</f>
        <v>0</v>
      </c>
      <c r="AD137" s="337">
        <f>IF(('Tillegg- Inndata GoF'!G135) = 0, 0,1.833*('Tillegg- Inndata GoF'!G135*('Tillegg- Inndata GoF'!L135*0.5+'Tillegg- Inndata GoF'!M135*0.8)*AG137*_xlfn.XLOOKUP(51, År_etter_ferdigstillelse,  f_tid_x_f_tek_d_0_01)))</f>
        <v>0</v>
      </c>
      <c r="AE137" s="333" cm="1">
        <f t="array" ref="AE137">IF(('Tillegg- Inndata GoF'!G135) = 0, 0,-0.8*('Tillegg- Inndata GoF'!G135)*AH137*('Tillegg- Inndata GoF'!E135/'Tillegg- Inndata GoF'!G135)*_xlfn.XLOOKUP(51, År_etter_ferdigstillelse,  IF(LEFT('Tillegg- Inndata GoF'!B135, 2)= 49, f_tid_x_f_tek_d_0_037, f_tid_x_f_tek_d_0_01)))</f>
        <v>0</v>
      </c>
      <c r="AF137" s="338" cm="1">
        <f t="array" ref="AF137">IF(('Tillegg- Inndata GoF'!G135) = 0, 0,-0.1*('Tillegg- Inndata GoF'!G135)*AI137*('Tillegg- Inndata GoF'!E135/'Tillegg- Inndata GoF'!G135)*_xlfn.XLOOKUP(51, År_etter_ferdigstillelse,  IF(LEFT('Tillegg- Inndata GoF'!B135, 2)= 49, f_tid_x_f_tek_d_0_037, f_tid_x_f_tek_d_0_01)))</f>
        <v>0</v>
      </c>
      <c r="AG137" s="572">
        <f>IF(('Tillegg- Inndata GoF'!G135) = 0, 0,'Tillegg- Inndata GoF'!X135*Faktorer!$Z$58)</f>
        <v>0</v>
      </c>
      <c r="AH137" s="573">
        <f>IF(('Tillegg- Inndata GoF'!G135) = 0, 0,'Tillegg- Inndata GoF'!Z135+('Tillegg- Inndata GoF'!X135+'Tillegg- Inndata GoF'!Y135)*(1-Faktorer!$Z$58)*0.5)</f>
        <v>0</v>
      </c>
      <c r="AI137" s="574">
        <f>IF(('Tillegg- Inndata GoF'!G135) = 0, 0,'Tillegg- Inndata GoF'!AA135+('Tillegg- Inndata GoF'!X135+'Tillegg- Inndata GoF'!Y135)*(1-Faktorer!$Z$58)*0.5)</f>
        <v>0</v>
      </c>
      <c r="AK137" s="90">
        <f t="shared" si="2"/>
        <v>0</v>
      </c>
      <c r="AL137" s="91">
        <f>'Tillegg- Res. detaljert GoF'!N137</f>
        <v>0</v>
      </c>
      <c r="AM137" s="91" t="str">
        <f>IF(F137=0,"",('Tillegg- Inndata GoF'!E137+'Tillegg- Inndata GoF'!F137)*ROUNDDOWN('Tillegg- Inndata GoF'!I137,0)*(1+'Tillegg- Inndata GoF'!K137))</f>
        <v/>
      </c>
    </row>
    <row r="138" spans="2:39">
      <c r="B138" s="327">
        <f>'Tillegg- Inndata GoF'!B136</f>
        <v>0</v>
      </c>
      <c r="C138" s="328">
        <f>'Tillegg- Inndata GoF'!C136</f>
        <v>0</v>
      </c>
      <c r="D138" s="329">
        <f>'Tillegg- Inndata GoF'!D136</f>
        <v>0</v>
      </c>
      <c r="E138" s="661" cm="1">
        <f t="array" ref="E138">SUM(IFERROR(F138:AF138,0))</f>
        <v>0</v>
      </c>
      <c r="F138" s="330">
        <f>'Tillegg- Inndata GoF'!E136</f>
        <v>0</v>
      </c>
      <c r="G138" s="330">
        <f>IF('Tillegg- Inndata GoF'!AB136="Ja", -0.8*'Tillegg- Res. detaljert GoF'!$F138, 0)</f>
        <v>0</v>
      </c>
      <c r="H138" s="330">
        <f>IF('Tillegg- Inndata GoF'!AC136="Ja", -0.4*'Tillegg- Res. detaljert GoF'!$F138, 0)</f>
        <v>0</v>
      </c>
      <c r="I138" s="330">
        <f>IF('Tillegg- Inndata GoF'!AD136="Ja", -1*'Tillegg- Res. detaljert GoF'!$F138, 0)</f>
        <v>0</v>
      </c>
      <c r="J138" s="330">
        <f>'Tillegg- Inndata GoF'!O136*'Tillegg- Inndata GoF'!P136</f>
        <v>0</v>
      </c>
      <c r="K138" s="330">
        <f>MAX(-0.75*(SUM('Tillegg- Res. detaljert GoF'!F138:J138)),-'Tillegg- Inndata GoF'!O136*'Tillegg- Inndata GoF'!Q136)</f>
        <v>0</v>
      </c>
      <c r="L138" s="330">
        <f>'Tillegg- Inndata GoF'!S136*'Tillegg- Inndata GoF'!T136</f>
        <v>0</v>
      </c>
      <c r="M138" s="330">
        <f>MAX(-0.75*(SUM('Tillegg- Res. detaljert GoF'!F138:I138,L138)),-'Tillegg- Inndata GoF'!S136*'Tillegg- Inndata GoF'!U136)</f>
        <v>0</v>
      </c>
      <c r="N138" s="331">
        <f>'Tillegg- Inndata GoF'!F136</f>
        <v>0</v>
      </c>
      <c r="O138" s="330">
        <f>'Tillegg- Inndata GoF'!O136*'Tillegg- Inndata GoF'!R136</f>
        <v>0</v>
      </c>
      <c r="P138" s="332">
        <f>'Tillegg- Inndata GoF'!S136*'Tillegg- Inndata GoF'!V136</f>
        <v>0</v>
      </c>
      <c r="Q138" s="333">
        <f>SUM(F138:J138,L138)*'Tillegg- Inndata GoF'!K136</f>
        <v>0</v>
      </c>
      <c r="R138" s="333">
        <f>(K138+M138)*'Tillegg- Inndata GoF'!K136</f>
        <v>0</v>
      </c>
      <c r="S138" s="333">
        <f>SUM(N138:P138)*'Tillegg- Inndata GoF'!K136</f>
        <v>0</v>
      </c>
      <c r="T138" s="334">
        <f>('Tillegg- Inndata GoF'!G136+'Tillegg- Inndata GoF'!O136+'Tillegg- Inndata GoF'!S136)*'Tillegg- Inndata GoF'!K136*Transport_utslipp_til_avfallshånderting_per_kg</f>
        <v>0</v>
      </c>
      <c r="U138" s="330">
        <f>IF('Tillegg- Inndata GoF'!E136 = 0, 0, 1.833*'Tillegg- Inndata GoF'!X136*'Tillegg- Inndata GoF'!K136*('Tillegg- Inndata GoF'!G136*('Tillegg- Inndata GoF'!L136*0.5+'Tillegg- Inndata GoF'!M136*0.8) + (12/44)*('Tillegg- Inndata GoF'!O136*'Tillegg- Inndata GoF'!Q136+'Tillegg- Inndata GoF'!S136*'Tillegg- Inndata GoF'!U136)))</f>
        <v>0</v>
      </c>
      <c r="V138" s="335">
        <f>IF('Tillegg- Inndata GoF'!G136 = 0, 0,  MAX(-SUM(F138:J138,L138)*'Tillegg- Inndata GoF'!L136, -0.114*IF('Tillegg- Inndata GoF'!H136 &gt; 49, _xlfn.XLOOKUP(49, År_etter_ferdigstillelse, karbon_opptak_faktor), _xlfn.XLOOKUP('Tillegg- Inndata GoF'!H136, År_etter_ferdigstillelse, karbon_opptak_faktor))*'Tillegg- Inndata GoF'!G136*'Tillegg- Inndata GoF'!L136*0.5))</f>
        <v>0</v>
      </c>
      <c r="W138" s="333">
        <f>IF('Tillegg- Inndata GoF'!G136=0,0,IF('Tillegg- Inndata GoF'!H136&gt;49,-0.064*'Tillegg- Inndata GoF'!G136*'Tillegg- Inndata GoF'!N136,-0.037*'Tillegg- Inndata GoF'!J136*'Tillegg- Inndata GoF'!N136))</f>
        <v>0</v>
      </c>
      <c r="X138" s="331" cm="1">
        <f t="array" ref="X138">IF(SUM(F138:J138,L138)=0, 0, SUM(F138:J138,L138)*(1+'Tillegg-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Y138" s="330" cm="1">
        <f t="array" ref="Y138">IF(X138=0, 0, SUM(K138,M138)*(1+'Tillegg-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Z138" s="336" cm="1">
        <f t="array" ref="Z138">IF(X138=0, 0, SUM(N138:P138)*(1+'Tillegg-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AA138" s="336" cm="1">
        <f t="array" ref="AA138">IF(X138=0, 0, ('Tillegg- Inndata GoF'!G136+'Tillegg- Inndata GoF'!O136+'Tillegg- Inndata GoF'!S136)*(1+'Tillegg- Inndata GoF'!K136)*Transport_utslipp_til_avfallshånderting_per_kg*IF('Tillegg- Inndata GoF'!H136&gt;50, 0, _xlfn.XLOOKUP('Tillegg- Inndata GoF'!H136, År_etter_ferdigstillelse, IF(VALUE(LEFT('Tillegg- Inndata GoF'!B136, 2))= 49, f_tid_x_f_tek_d_0_037_kumulativ, f_tid_x_f_tek_d_0_01_kumulativ))))</f>
        <v>0</v>
      </c>
      <c r="AB138" s="334" cm="1">
        <f t="array" ref="AB138">IF(X138=0, 0,1.833*'Tillegg- Inndata GoF'!J136*('Tillegg- Inndata GoF'!X136*_xlfn.XLOOKUP(IF('Tillegg- Inndata GoF'!I136&lt;2,'Tillegg- Inndata GoF'!H136,'Tillegg- Inndata GoF'!H136*2), År_etter_ferdigstillelse, Faktorer!$Z$7:$Z$58))*('Tillegg- Inndata GoF'!L136*0.5+'Tillegg- Inndata GoF'!M136*0.8)*_xlfn.XLOOKUP(IF('Tillegg- Inndata GoF'!I136&lt;2,'Tillegg- Inndata GoF'!H136,'Tillegg- Inndata GoF'!H136*2), År_etter_ferdigstillelse,  IF(LEFT('Tillegg- Inndata GoF'!B136, 2)= 49, f_tid_x_f_tek_d_0_037, f_tid_x_f_tek_d_0_01)))</f>
        <v>0</v>
      </c>
      <c r="AC138" s="335">
        <f>IF(('Tillegg- Inndata GoF'!G136) = 0, 0,(('Tillegg- Inndata GoF'!G136)*((AG138+AI138)*Transport_utslipp_til_avfallshånderting_per_kg)+('Tillegg- Inndata GoF'!Z136*'ZERO-B Beregning'!D238)*IF('ZERO-B Beregning'!F239=0,'ZERO-B Beregning'!D239,'ZERO-B Beregning'!F239))*_xlfn.XLOOKUP(51, År_etter_ferdigstillelse, f_tid_x_f_tek_d_0_01))</f>
        <v>0</v>
      </c>
      <c r="AD138" s="337">
        <f>IF(('Tillegg- Inndata GoF'!G136) = 0, 0,1.833*('Tillegg- Inndata GoF'!G136*('Tillegg- Inndata GoF'!L136*0.5+'Tillegg- Inndata GoF'!M136*0.8)*AG138*_xlfn.XLOOKUP(51, År_etter_ferdigstillelse,  f_tid_x_f_tek_d_0_01)))</f>
        <v>0</v>
      </c>
      <c r="AE138" s="333" cm="1">
        <f t="array" ref="AE138">IF(('Tillegg- Inndata GoF'!G136) = 0, 0,-0.8*('Tillegg- Inndata GoF'!G136)*AH138*('Tillegg- Inndata GoF'!E136/'Tillegg- Inndata GoF'!G136)*_xlfn.XLOOKUP(51, År_etter_ferdigstillelse,  IF(LEFT('Tillegg- Inndata GoF'!B136, 2)= 49, f_tid_x_f_tek_d_0_037, f_tid_x_f_tek_d_0_01)))</f>
        <v>0</v>
      </c>
      <c r="AF138" s="338" cm="1">
        <f t="array" ref="AF138">IF(('Tillegg- Inndata GoF'!G136) = 0, 0,-0.1*('Tillegg- Inndata GoF'!G136)*AI138*('Tillegg- Inndata GoF'!E136/'Tillegg- Inndata GoF'!G136)*_xlfn.XLOOKUP(51, År_etter_ferdigstillelse,  IF(LEFT('Tillegg- Inndata GoF'!B136, 2)= 49, f_tid_x_f_tek_d_0_037, f_tid_x_f_tek_d_0_01)))</f>
        <v>0</v>
      </c>
      <c r="AG138" s="572">
        <f>IF(('Tillegg- Inndata GoF'!G136) = 0, 0,'Tillegg- Inndata GoF'!X136*Faktorer!$Z$58)</f>
        <v>0</v>
      </c>
      <c r="AH138" s="573">
        <f>IF(('Tillegg- Inndata GoF'!G136) = 0, 0,'Tillegg- Inndata GoF'!Z136+('Tillegg- Inndata GoF'!X136+'Tillegg- Inndata GoF'!Y136)*(1-Faktorer!$Z$58)*0.5)</f>
        <v>0</v>
      </c>
      <c r="AI138" s="574">
        <f>IF(('Tillegg- Inndata GoF'!G136) = 0, 0,'Tillegg- Inndata GoF'!AA136+('Tillegg- Inndata GoF'!X136+'Tillegg- Inndata GoF'!Y136)*(1-Faktorer!$Z$58)*0.5)</f>
        <v>0</v>
      </c>
      <c r="AK138" s="90">
        <f t="shared" si="2"/>
        <v>0</v>
      </c>
      <c r="AL138" s="91">
        <f>'Tillegg- Res. detaljert GoF'!N138</f>
        <v>0</v>
      </c>
      <c r="AM138" s="91" t="str">
        <f>IF(F138=0,"",('Tillegg- Inndata GoF'!E138+'Tillegg- Inndata GoF'!F138)*ROUNDDOWN('Tillegg- Inndata GoF'!I138,0)*(1+'Tillegg- Inndata GoF'!K138))</f>
        <v/>
      </c>
    </row>
    <row r="139" spans="2:39">
      <c r="B139" s="327">
        <f>'Tillegg- Inndata GoF'!B137</f>
        <v>0</v>
      </c>
      <c r="C139" s="328">
        <f>'Tillegg- Inndata GoF'!C137</f>
        <v>0</v>
      </c>
      <c r="D139" s="329">
        <f>'Tillegg- Inndata GoF'!D137</f>
        <v>0</v>
      </c>
      <c r="E139" s="661" cm="1">
        <f t="array" ref="E139">SUM(IFERROR(F139:AF139,0))</f>
        <v>0</v>
      </c>
      <c r="F139" s="330">
        <f>'Tillegg- Inndata GoF'!E137</f>
        <v>0</v>
      </c>
      <c r="G139" s="330">
        <f>IF('Tillegg- Inndata GoF'!AB137="Ja", -0.8*'Tillegg- Res. detaljert GoF'!$F139, 0)</f>
        <v>0</v>
      </c>
      <c r="H139" s="330">
        <f>IF('Tillegg- Inndata GoF'!AC137="Ja", -0.4*'Tillegg- Res. detaljert GoF'!$F139, 0)</f>
        <v>0</v>
      </c>
      <c r="I139" s="330">
        <f>IF('Tillegg- Inndata GoF'!AD137="Ja", -1*'Tillegg- Res. detaljert GoF'!$F139, 0)</f>
        <v>0</v>
      </c>
      <c r="J139" s="330">
        <f>'Tillegg- Inndata GoF'!O137*'Tillegg- Inndata GoF'!P137</f>
        <v>0</v>
      </c>
      <c r="K139" s="330">
        <f>MAX(-0.75*(SUM('Tillegg- Res. detaljert GoF'!F139:J139)),-'Tillegg- Inndata GoF'!O137*'Tillegg- Inndata GoF'!Q137)</f>
        <v>0</v>
      </c>
      <c r="L139" s="330">
        <f>'Tillegg- Inndata GoF'!S137*'Tillegg- Inndata GoF'!T137</f>
        <v>0</v>
      </c>
      <c r="M139" s="330">
        <f>MAX(-0.75*(SUM('Tillegg- Res. detaljert GoF'!F139:I139,L139)),-'Tillegg- Inndata GoF'!S137*'Tillegg- Inndata GoF'!U137)</f>
        <v>0</v>
      </c>
      <c r="N139" s="331">
        <f>'Tillegg- Inndata GoF'!F137</f>
        <v>0</v>
      </c>
      <c r="O139" s="330">
        <f>'Tillegg- Inndata GoF'!O137*'Tillegg- Inndata GoF'!R137</f>
        <v>0</v>
      </c>
      <c r="P139" s="332">
        <f>'Tillegg- Inndata GoF'!S137*'Tillegg- Inndata GoF'!V137</f>
        <v>0</v>
      </c>
      <c r="Q139" s="333">
        <f>SUM(F139:J139,L139)*'Tillegg- Inndata GoF'!K137</f>
        <v>0</v>
      </c>
      <c r="R139" s="333">
        <f>(K139+M139)*'Tillegg- Inndata GoF'!K137</f>
        <v>0</v>
      </c>
      <c r="S139" s="333">
        <f>SUM(N139:P139)*'Tillegg- Inndata GoF'!K137</f>
        <v>0</v>
      </c>
      <c r="T139" s="334">
        <f>('Tillegg- Inndata GoF'!G137+'Tillegg- Inndata GoF'!O137+'Tillegg- Inndata GoF'!S137)*'Tillegg- Inndata GoF'!K137*Transport_utslipp_til_avfallshånderting_per_kg</f>
        <v>0</v>
      </c>
      <c r="U139" s="330">
        <f>IF('Tillegg- Inndata GoF'!E137 = 0, 0, 1.833*'Tillegg- Inndata GoF'!X137*'Tillegg- Inndata GoF'!K137*('Tillegg- Inndata GoF'!G137*('Tillegg- Inndata GoF'!L137*0.5+'Tillegg- Inndata GoF'!M137*0.8) + (12/44)*('Tillegg- Inndata GoF'!O137*'Tillegg- Inndata GoF'!Q137+'Tillegg- Inndata GoF'!S137*'Tillegg- Inndata GoF'!U137)))</f>
        <v>0</v>
      </c>
      <c r="V139" s="335">
        <f>IF('Tillegg- Inndata GoF'!G137 = 0, 0,  MAX(-SUM(F139:J139,L139)*'Tillegg- Inndata GoF'!L137, -0.114*IF('Tillegg- Inndata GoF'!H137 &gt; 49, _xlfn.XLOOKUP(49, År_etter_ferdigstillelse, karbon_opptak_faktor), _xlfn.XLOOKUP('Tillegg- Inndata GoF'!H137, År_etter_ferdigstillelse, karbon_opptak_faktor))*'Tillegg- Inndata GoF'!G137*'Tillegg- Inndata GoF'!L137*0.5))</f>
        <v>0</v>
      </c>
      <c r="W139" s="333">
        <f>IF('Tillegg- Inndata GoF'!G137=0,0,IF('Tillegg- Inndata GoF'!H137&gt;49,-0.064*'Tillegg- Inndata GoF'!G137*'Tillegg- Inndata GoF'!N137,-0.037*'Tillegg- Inndata GoF'!J137*'Tillegg- Inndata GoF'!N137))</f>
        <v>0</v>
      </c>
      <c r="X139" s="331" cm="1">
        <f t="array" ref="X139">IF(SUM(F139:J139,L139)=0, 0, SUM(F139:J139,L139)*(1+'Tillegg-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Y139" s="330" cm="1">
        <f t="array" ref="Y139">IF(X139=0, 0, SUM(K139,M139)*(1+'Tillegg-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Z139" s="336" cm="1">
        <f t="array" ref="Z139">IF(X139=0, 0, SUM(N139:P139)*(1+'Tillegg-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AA139" s="336" cm="1">
        <f t="array" ref="AA139">IF(X139=0, 0, ('Tillegg- Inndata GoF'!G137+'Tillegg- Inndata GoF'!O137+'Tillegg- Inndata GoF'!S137)*(1+'Tillegg- Inndata GoF'!K137)*Transport_utslipp_til_avfallshånderting_per_kg*IF('Tillegg- Inndata GoF'!H137&gt;50, 0, _xlfn.XLOOKUP('Tillegg- Inndata GoF'!H137, År_etter_ferdigstillelse, IF(VALUE(LEFT('Tillegg- Inndata GoF'!B137, 2))= 49, f_tid_x_f_tek_d_0_037_kumulativ, f_tid_x_f_tek_d_0_01_kumulativ))))</f>
        <v>0</v>
      </c>
      <c r="AB139" s="334" cm="1">
        <f t="array" ref="AB139">IF(X139=0, 0,1.833*'Tillegg- Inndata GoF'!J137*('Tillegg- Inndata GoF'!X137*_xlfn.XLOOKUP(IF('Tillegg- Inndata GoF'!I137&lt;2,'Tillegg- Inndata GoF'!H137,'Tillegg- Inndata GoF'!H137*2), År_etter_ferdigstillelse, Faktorer!$Z$7:$Z$58))*('Tillegg- Inndata GoF'!L137*0.5+'Tillegg- Inndata GoF'!M137*0.8)*_xlfn.XLOOKUP(IF('Tillegg- Inndata GoF'!I137&lt;2,'Tillegg- Inndata GoF'!H137,'Tillegg- Inndata GoF'!H137*2), År_etter_ferdigstillelse,  IF(LEFT('Tillegg- Inndata GoF'!B137, 2)= 49, f_tid_x_f_tek_d_0_037, f_tid_x_f_tek_d_0_01)))</f>
        <v>0</v>
      </c>
      <c r="AC139" s="335">
        <f>IF(('Tillegg- Inndata GoF'!G137) = 0, 0,(('Tillegg- Inndata GoF'!G137)*((AG139+AI139)*Transport_utslipp_til_avfallshånderting_per_kg)+('Tillegg- Inndata GoF'!Z137*'ZERO-B Beregning'!D239)*IF('ZERO-B Beregning'!F240=0,'ZERO-B Beregning'!D240,'ZERO-B Beregning'!F240))*_xlfn.XLOOKUP(51, År_etter_ferdigstillelse, f_tid_x_f_tek_d_0_01))</f>
        <v>0</v>
      </c>
      <c r="AD139" s="337">
        <f>IF(('Tillegg- Inndata GoF'!G137) = 0, 0,1.833*('Tillegg- Inndata GoF'!G137*('Tillegg- Inndata GoF'!L137*0.5+'Tillegg- Inndata GoF'!M137*0.8)*AG139*_xlfn.XLOOKUP(51, År_etter_ferdigstillelse,  f_tid_x_f_tek_d_0_01)))</f>
        <v>0</v>
      </c>
      <c r="AE139" s="333" cm="1">
        <f t="array" ref="AE139">IF(('Tillegg- Inndata GoF'!G137) = 0, 0,-0.8*('Tillegg- Inndata GoF'!G137)*AH139*('Tillegg- Inndata GoF'!E137/'Tillegg- Inndata GoF'!G137)*_xlfn.XLOOKUP(51, År_etter_ferdigstillelse,  IF(LEFT('Tillegg- Inndata GoF'!B137, 2)= 49, f_tid_x_f_tek_d_0_037, f_tid_x_f_tek_d_0_01)))</f>
        <v>0</v>
      </c>
      <c r="AF139" s="338" cm="1">
        <f t="array" ref="AF139">IF(('Tillegg- Inndata GoF'!G137) = 0, 0,-0.1*('Tillegg- Inndata GoF'!G137)*AI139*('Tillegg- Inndata GoF'!E137/'Tillegg- Inndata GoF'!G137)*_xlfn.XLOOKUP(51, År_etter_ferdigstillelse,  IF(LEFT('Tillegg- Inndata GoF'!B137, 2)= 49, f_tid_x_f_tek_d_0_037, f_tid_x_f_tek_d_0_01)))</f>
        <v>0</v>
      </c>
      <c r="AG139" s="572">
        <f>IF(('Tillegg- Inndata GoF'!G137) = 0, 0,'Tillegg- Inndata GoF'!X137*Faktorer!$Z$58)</f>
        <v>0</v>
      </c>
      <c r="AH139" s="573">
        <f>IF(('Tillegg- Inndata GoF'!G137) = 0, 0,'Tillegg- Inndata GoF'!Z137+('Tillegg- Inndata GoF'!X137+'Tillegg- Inndata GoF'!Y137)*(1-Faktorer!$Z$58)*0.5)</f>
        <v>0</v>
      </c>
      <c r="AI139" s="574">
        <f>IF(('Tillegg- Inndata GoF'!G137) = 0, 0,'Tillegg- Inndata GoF'!AA137+('Tillegg- Inndata GoF'!X137+'Tillegg- Inndata GoF'!Y137)*(1-Faktorer!$Z$58)*0.5)</f>
        <v>0</v>
      </c>
      <c r="AK139" s="90">
        <f t="shared" si="2"/>
        <v>0</v>
      </c>
      <c r="AL139" s="91">
        <f>'Tillegg- Res. detaljert GoF'!N139</f>
        <v>0</v>
      </c>
      <c r="AM139" s="91" t="str">
        <f>IF(F139=0,"",('Tillegg- Inndata GoF'!E139+'Tillegg- Inndata GoF'!F139)*ROUNDDOWN('Tillegg- Inndata GoF'!I139,0)*(1+'Tillegg- Inndata GoF'!K139))</f>
        <v/>
      </c>
    </row>
    <row r="140" spans="2:39">
      <c r="B140" s="327">
        <f>'Tillegg- Inndata GoF'!B138</f>
        <v>0</v>
      </c>
      <c r="C140" s="328">
        <f>'Tillegg- Inndata GoF'!C138</f>
        <v>0</v>
      </c>
      <c r="D140" s="329">
        <f>'Tillegg- Inndata GoF'!D138</f>
        <v>0</v>
      </c>
      <c r="E140" s="661" cm="1">
        <f t="array" ref="E140">SUM(IFERROR(F140:AF140,0))</f>
        <v>0</v>
      </c>
      <c r="F140" s="330">
        <f>'Tillegg- Inndata GoF'!E138</f>
        <v>0</v>
      </c>
      <c r="G140" s="330">
        <f>IF('Tillegg- Inndata GoF'!AB138="Ja", -0.8*'Tillegg- Res. detaljert GoF'!$F140, 0)</f>
        <v>0</v>
      </c>
      <c r="H140" s="330">
        <f>IF('Tillegg- Inndata GoF'!AC138="Ja", -0.4*'Tillegg- Res. detaljert GoF'!$F140, 0)</f>
        <v>0</v>
      </c>
      <c r="I140" s="330">
        <f>IF('Tillegg- Inndata GoF'!AD138="Ja", -1*'Tillegg- Res. detaljert GoF'!$F140, 0)</f>
        <v>0</v>
      </c>
      <c r="J140" s="330">
        <f>'Tillegg- Inndata GoF'!O138*'Tillegg- Inndata GoF'!P138</f>
        <v>0</v>
      </c>
      <c r="K140" s="330">
        <f>MAX(-0.75*(SUM('Tillegg- Res. detaljert GoF'!F140:J140)),-'Tillegg- Inndata GoF'!O138*'Tillegg- Inndata GoF'!Q138)</f>
        <v>0</v>
      </c>
      <c r="L140" s="330">
        <f>'Tillegg- Inndata GoF'!S138*'Tillegg- Inndata GoF'!T138</f>
        <v>0</v>
      </c>
      <c r="M140" s="330">
        <f>MAX(-0.75*(SUM('Tillegg- Res. detaljert GoF'!F140:I140,L140)),-'Tillegg- Inndata GoF'!S138*'Tillegg- Inndata GoF'!U138)</f>
        <v>0</v>
      </c>
      <c r="N140" s="331">
        <f>'Tillegg- Inndata GoF'!F138</f>
        <v>0</v>
      </c>
      <c r="O140" s="330">
        <f>'Tillegg- Inndata GoF'!O138*'Tillegg- Inndata GoF'!R138</f>
        <v>0</v>
      </c>
      <c r="P140" s="332">
        <f>'Tillegg- Inndata GoF'!S138*'Tillegg- Inndata GoF'!V138</f>
        <v>0</v>
      </c>
      <c r="Q140" s="333">
        <f>SUM(F140:J140,L140)*'Tillegg- Inndata GoF'!K138</f>
        <v>0</v>
      </c>
      <c r="R140" s="333">
        <f>(K140+M140)*'Tillegg- Inndata GoF'!K138</f>
        <v>0</v>
      </c>
      <c r="S140" s="333">
        <f>SUM(N140:P140)*'Tillegg- Inndata GoF'!K138</f>
        <v>0</v>
      </c>
      <c r="T140" s="334">
        <f>('Tillegg- Inndata GoF'!G138+'Tillegg- Inndata GoF'!O138+'Tillegg- Inndata GoF'!S138)*'Tillegg- Inndata GoF'!K138*Transport_utslipp_til_avfallshånderting_per_kg</f>
        <v>0</v>
      </c>
      <c r="U140" s="330">
        <f>IF('Tillegg- Inndata GoF'!E138 = 0, 0, 1.833*'Tillegg- Inndata GoF'!X138*'Tillegg- Inndata GoF'!K138*('Tillegg- Inndata GoF'!G138*('Tillegg- Inndata GoF'!L138*0.5+'Tillegg- Inndata GoF'!M138*0.8) + (12/44)*('Tillegg- Inndata GoF'!O138*'Tillegg- Inndata GoF'!Q138+'Tillegg- Inndata GoF'!S138*'Tillegg- Inndata GoF'!U138)))</f>
        <v>0</v>
      </c>
      <c r="V140" s="335">
        <f>IF('Tillegg- Inndata GoF'!G138 = 0, 0,  MAX(-SUM(F140:J140,L140)*'Tillegg- Inndata GoF'!L138, -0.114*IF('Tillegg- Inndata GoF'!H138 &gt; 49, _xlfn.XLOOKUP(49, År_etter_ferdigstillelse, karbon_opptak_faktor), _xlfn.XLOOKUP('Tillegg- Inndata GoF'!H138, År_etter_ferdigstillelse, karbon_opptak_faktor))*'Tillegg- Inndata GoF'!G138*'Tillegg- Inndata GoF'!L138*0.5))</f>
        <v>0</v>
      </c>
      <c r="W140" s="333">
        <f>IF('Tillegg- Inndata GoF'!G138=0,0,IF('Tillegg- Inndata GoF'!H138&gt;49,-0.064*'Tillegg- Inndata GoF'!G138*'Tillegg- Inndata GoF'!N138,-0.037*'Tillegg- Inndata GoF'!J138*'Tillegg- Inndata GoF'!N138))</f>
        <v>0</v>
      </c>
      <c r="X140" s="331" cm="1">
        <f t="array" ref="X140">IF(SUM(F140:J140,L140)=0, 0, SUM(F140:J140,L140)*(1+'Tillegg-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Y140" s="330" cm="1">
        <f t="array" ref="Y140">IF(X140=0, 0, SUM(K140,M140)*(1+'Tillegg-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Z140" s="336" cm="1">
        <f t="array" ref="Z140">IF(X140=0, 0, SUM(N140:P140)*(1+'Tillegg-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AA140" s="336" cm="1">
        <f t="array" ref="AA140">IF(X140=0, 0, ('Tillegg- Inndata GoF'!G138+'Tillegg- Inndata GoF'!O138+'Tillegg- Inndata GoF'!S138)*(1+'Tillegg- Inndata GoF'!K138)*Transport_utslipp_til_avfallshånderting_per_kg*IF('Tillegg- Inndata GoF'!H138&gt;50, 0, _xlfn.XLOOKUP('Tillegg- Inndata GoF'!H138, År_etter_ferdigstillelse, IF(VALUE(LEFT('Tillegg- Inndata GoF'!B138, 2))= 49, f_tid_x_f_tek_d_0_037_kumulativ, f_tid_x_f_tek_d_0_01_kumulativ))))</f>
        <v>0</v>
      </c>
      <c r="AB140" s="334" cm="1">
        <f t="array" ref="AB140">IF(X140=0, 0,1.833*'Tillegg- Inndata GoF'!J138*('Tillegg- Inndata GoF'!X138*_xlfn.XLOOKUP(IF('Tillegg- Inndata GoF'!I138&lt;2,'Tillegg- Inndata GoF'!H138,'Tillegg- Inndata GoF'!H138*2), År_etter_ferdigstillelse, Faktorer!$Z$7:$Z$58))*('Tillegg- Inndata GoF'!L138*0.5+'Tillegg- Inndata GoF'!M138*0.8)*_xlfn.XLOOKUP(IF('Tillegg- Inndata GoF'!I138&lt;2,'Tillegg- Inndata GoF'!H138,'Tillegg- Inndata GoF'!H138*2), År_etter_ferdigstillelse,  IF(LEFT('Tillegg- Inndata GoF'!B138, 2)= 49, f_tid_x_f_tek_d_0_037, f_tid_x_f_tek_d_0_01)))</f>
        <v>0</v>
      </c>
      <c r="AC140" s="335">
        <f>IF(('Tillegg- Inndata GoF'!G138) = 0, 0,(('Tillegg- Inndata GoF'!G138)*((AG140+AI140)*Transport_utslipp_til_avfallshånderting_per_kg)+('Tillegg- Inndata GoF'!Z138*'ZERO-B Beregning'!D240)*IF('ZERO-B Beregning'!F241=0,'ZERO-B Beregning'!D241,'ZERO-B Beregning'!F241))*_xlfn.XLOOKUP(51, År_etter_ferdigstillelse, f_tid_x_f_tek_d_0_01))</f>
        <v>0</v>
      </c>
      <c r="AD140" s="337">
        <f>IF(('Tillegg- Inndata GoF'!G138) = 0, 0,1.833*('Tillegg- Inndata GoF'!G138*('Tillegg- Inndata GoF'!L138*0.5+'Tillegg- Inndata GoF'!M138*0.8)*AG140*_xlfn.XLOOKUP(51, År_etter_ferdigstillelse,  f_tid_x_f_tek_d_0_01)))</f>
        <v>0</v>
      </c>
      <c r="AE140" s="333" cm="1">
        <f t="array" ref="AE140">IF(('Tillegg- Inndata GoF'!G138) = 0, 0,-0.8*('Tillegg- Inndata GoF'!G138)*AH140*('Tillegg- Inndata GoF'!E138/'Tillegg- Inndata GoF'!G138)*_xlfn.XLOOKUP(51, År_etter_ferdigstillelse,  IF(LEFT('Tillegg- Inndata GoF'!B138, 2)= 49, f_tid_x_f_tek_d_0_037, f_tid_x_f_tek_d_0_01)))</f>
        <v>0</v>
      </c>
      <c r="AF140" s="338" cm="1">
        <f t="array" ref="AF140">IF(('Tillegg- Inndata GoF'!G138) = 0, 0,-0.1*('Tillegg- Inndata GoF'!G138)*AI140*('Tillegg- Inndata GoF'!E138/'Tillegg- Inndata GoF'!G138)*_xlfn.XLOOKUP(51, År_etter_ferdigstillelse,  IF(LEFT('Tillegg- Inndata GoF'!B138, 2)= 49, f_tid_x_f_tek_d_0_037, f_tid_x_f_tek_d_0_01)))</f>
        <v>0</v>
      </c>
      <c r="AG140" s="572">
        <f>IF(('Tillegg- Inndata GoF'!G138) = 0, 0,'Tillegg- Inndata GoF'!X138*Faktorer!$Z$58)</f>
        <v>0</v>
      </c>
      <c r="AH140" s="573">
        <f>IF(('Tillegg- Inndata GoF'!G138) = 0, 0,'Tillegg- Inndata GoF'!Z138+('Tillegg- Inndata GoF'!X138+'Tillegg- Inndata GoF'!Y138)*(1-Faktorer!$Z$58)*0.5)</f>
        <v>0</v>
      </c>
      <c r="AI140" s="574">
        <f>IF(('Tillegg- Inndata GoF'!G138) = 0, 0,'Tillegg- Inndata GoF'!AA138+('Tillegg- Inndata GoF'!X138+'Tillegg- Inndata GoF'!Y138)*(1-Faktorer!$Z$58)*0.5)</f>
        <v>0</v>
      </c>
      <c r="AK140" s="90">
        <f t="shared" si="2"/>
        <v>0</v>
      </c>
      <c r="AL140" s="91">
        <f>'Tillegg- Res. detaljert GoF'!N140</f>
        <v>0</v>
      </c>
      <c r="AM140" s="91" t="str">
        <f>IF(F140=0,"",('Tillegg- Inndata GoF'!E140+'Tillegg- Inndata GoF'!F140)*ROUNDDOWN('Tillegg- Inndata GoF'!I140,0)*(1+'Tillegg- Inndata GoF'!K140))</f>
        <v/>
      </c>
    </row>
    <row r="141" spans="2:39">
      <c r="B141" s="327">
        <f>'Tillegg- Inndata GoF'!B139</f>
        <v>0</v>
      </c>
      <c r="C141" s="328">
        <f>'Tillegg- Inndata GoF'!C139</f>
        <v>0</v>
      </c>
      <c r="D141" s="329">
        <f>'Tillegg- Inndata GoF'!D139</f>
        <v>0</v>
      </c>
      <c r="E141" s="661" cm="1">
        <f t="array" ref="E141">SUM(IFERROR(F141:AF141,0))</f>
        <v>0</v>
      </c>
      <c r="F141" s="330">
        <f>'Tillegg- Inndata GoF'!E139</f>
        <v>0</v>
      </c>
      <c r="G141" s="330">
        <f>IF('Tillegg- Inndata GoF'!AB139="Ja", -0.8*'Tillegg- Res. detaljert GoF'!$F141, 0)</f>
        <v>0</v>
      </c>
      <c r="H141" s="330">
        <f>IF('Tillegg- Inndata GoF'!AC139="Ja", -0.4*'Tillegg- Res. detaljert GoF'!$F141, 0)</f>
        <v>0</v>
      </c>
      <c r="I141" s="330">
        <f>IF('Tillegg- Inndata GoF'!AD139="Ja", -1*'Tillegg- Res. detaljert GoF'!$F141, 0)</f>
        <v>0</v>
      </c>
      <c r="J141" s="330">
        <f>'Tillegg- Inndata GoF'!O139*'Tillegg- Inndata GoF'!P139</f>
        <v>0</v>
      </c>
      <c r="K141" s="330">
        <f>MAX(-0.75*(SUM('Tillegg- Res. detaljert GoF'!F141:J141)),-'Tillegg- Inndata GoF'!O139*'Tillegg- Inndata GoF'!Q139)</f>
        <v>0</v>
      </c>
      <c r="L141" s="330">
        <f>'Tillegg- Inndata GoF'!S139*'Tillegg- Inndata GoF'!T139</f>
        <v>0</v>
      </c>
      <c r="M141" s="330">
        <f>MAX(-0.75*(SUM('Tillegg- Res. detaljert GoF'!F141:I141,L141)),-'Tillegg- Inndata GoF'!S139*'Tillegg- Inndata GoF'!U139)</f>
        <v>0</v>
      </c>
      <c r="N141" s="331">
        <f>'Tillegg- Inndata GoF'!F139</f>
        <v>0</v>
      </c>
      <c r="O141" s="330">
        <f>'Tillegg- Inndata GoF'!O139*'Tillegg- Inndata GoF'!R139</f>
        <v>0</v>
      </c>
      <c r="P141" s="332">
        <f>'Tillegg- Inndata GoF'!S139*'Tillegg- Inndata GoF'!V139</f>
        <v>0</v>
      </c>
      <c r="Q141" s="333">
        <f>SUM(F141:J141,L141)*'Tillegg- Inndata GoF'!K139</f>
        <v>0</v>
      </c>
      <c r="R141" s="333">
        <f>(K141+M141)*'Tillegg- Inndata GoF'!K139</f>
        <v>0</v>
      </c>
      <c r="S141" s="333">
        <f>SUM(N141:P141)*'Tillegg- Inndata GoF'!K139</f>
        <v>0</v>
      </c>
      <c r="T141" s="334">
        <f>('Tillegg- Inndata GoF'!G139+'Tillegg- Inndata GoF'!O139+'Tillegg- Inndata GoF'!S139)*'Tillegg- Inndata GoF'!K139*Transport_utslipp_til_avfallshånderting_per_kg</f>
        <v>0</v>
      </c>
      <c r="U141" s="330">
        <f>IF('Tillegg- Inndata GoF'!E139 = 0, 0, 1.833*'Tillegg- Inndata GoF'!X139*'Tillegg- Inndata GoF'!K139*('Tillegg- Inndata GoF'!G139*('Tillegg- Inndata GoF'!L139*0.5+'Tillegg- Inndata GoF'!M139*0.8) + (12/44)*('Tillegg- Inndata GoF'!O139*'Tillegg- Inndata GoF'!Q139+'Tillegg- Inndata GoF'!S139*'Tillegg- Inndata GoF'!U139)))</f>
        <v>0</v>
      </c>
      <c r="V141" s="335">
        <f>IF('Tillegg- Inndata GoF'!G139 = 0, 0,  MAX(-SUM(F141:J141,L141)*'Tillegg- Inndata GoF'!L139, -0.114*IF('Tillegg- Inndata GoF'!H139 &gt; 49, _xlfn.XLOOKUP(49, År_etter_ferdigstillelse, karbon_opptak_faktor), _xlfn.XLOOKUP('Tillegg- Inndata GoF'!H139, År_etter_ferdigstillelse, karbon_opptak_faktor))*'Tillegg- Inndata GoF'!G139*'Tillegg- Inndata GoF'!L139*0.5))</f>
        <v>0</v>
      </c>
      <c r="W141" s="333">
        <f>IF('Tillegg- Inndata GoF'!G139=0,0,IF('Tillegg- Inndata GoF'!H139&gt;49,-0.064*'Tillegg- Inndata GoF'!G139*'Tillegg- Inndata GoF'!N139,-0.037*'Tillegg- Inndata GoF'!J139*'Tillegg- Inndata GoF'!N139))</f>
        <v>0</v>
      </c>
      <c r="X141" s="331" cm="1">
        <f t="array" ref="X141">IF(SUM(F141:J141,L141)=0, 0, SUM(F141:J141,L141)*(1+'Tillegg-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Y141" s="330" cm="1">
        <f t="array" ref="Y141">IF(X141=0, 0, SUM(K141,M141)*(1+'Tillegg-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Z141" s="336" cm="1">
        <f t="array" ref="Z141">IF(X141=0, 0, SUM(N141:P141)*(1+'Tillegg-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AA141" s="336" cm="1">
        <f t="array" ref="AA141">IF(X141=0, 0, ('Tillegg- Inndata GoF'!G139+'Tillegg- Inndata GoF'!O139+'Tillegg- Inndata GoF'!S139)*(1+'Tillegg- Inndata GoF'!K139)*Transport_utslipp_til_avfallshånderting_per_kg*IF('Tillegg- Inndata GoF'!H139&gt;50, 0, _xlfn.XLOOKUP('Tillegg- Inndata GoF'!H139, År_etter_ferdigstillelse, IF(VALUE(LEFT('Tillegg- Inndata GoF'!B139, 2))= 49, f_tid_x_f_tek_d_0_037_kumulativ, f_tid_x_f_tek_d_0_01_kumulativ))))</f>
        <v>0</v>
      </c>
      <c r="AB141" s="334" cm="1">
        <f t="array" ref="AB141">IF(X141=0, 0,1.833*'Tillegg- Inndata GoF'!J139*('Tillegg- Inndata GoF'!X139*_xlfn.XLOOKUP(IF('Tillegg- Inndata GoF'!I139&lt;2,'Tillegg- Inndata GoF'!H139,'Tillegg- Inndata GoF'!H139*2), År_etter_ferdigstillelse, Faktorer!$Z$7:$Z$58))*('Tillegg- Inndata GoF'!L139*0.5+'Tillegg- Inndata GoF'!M139*0.8)*_xlfn.XLOOKUP(IF('Tillegg- Inndata GoF'!I139&lt;2,'Tillegg- Inndata GoF'!H139,'Tillegg- Inndata GoF'!H139*2), År_etter_ferdigstillelse,  IF(LEFT('Tillegg- Inndata GoF'!B139, 2)= 49, f_tid_x_f_tek_d_0_037, f_tid_x_f_tek_d_0_01)))</f>
        <v>0</v>
      </c>
      <c r="AC141" s="335">
        <f>IF(('Tillegg- Inndata GoF'!G139) = 0, 0,(('Tillegg- Inndata GoF'!G139)*((AG141+AI141)*Transport_utslipp_til_avfallshånderting_per_kg)+('Tillegg- Inndata GoF'!Z139*'ZERO-B Beregning'!D241)*IF('ZERO-B Beregning'!F242=0,'ZERO-B Beregning'!D242,'ZERO-B Beregning'!F242))*_xlfn.XLOOKUP(51, År_etter_ferdigstillelse, f_tid_x_f_tek_d_0_01))</f>
        <v>0</v>
      </c>
      <c r="AD141" s="337">
        <f>IF(('Tillegg- Inndata GoF'!G139) = 0, 0,1.833*('Tillegg- Inndata GoF'!G139*('Tillegg- Inndata GoF'!L139*0.5+'Tillegg- Inndata GoF'!M139*0.8)*AG141*_xlfn.XLOOKUP(51, År_etter_ferdigstillelse,  f_tid_x_f_tek_d_0_01)))</f>
        <v>0</v>
      </c>
      <c r="AE141" s="333" cm="1">
        <f t="array" ref="AE141">IF(('Tillegg- Inndata GoF'!G139) = 0, 0,-0.8*('Tillegg- Inndata GoF'!G139)*AH141*('Tillegg- Inndata GoF'!E139/'Tillegg- Inndata GoF'!G139)*_xlfn.XLOOKUP(51, År_etter_ferdigstillelse,  IF(LEFT('Tillegg- Inndata GoF'!B139, 2)= 49, f_tid_x_f_tek_d_0_037, f_tid_x_f_tek_d_0_01)))</f>
        <v>0</v>
      </c>
      <c r="AF141" s="338" cm="1">
        <f t="array" ref="AF141">IF(('Tillegg- Inndata GoF'!G139) = 0, 0,-0.1*('Tillegg- Inndata GoF'!G139)*AI141*('Tillegg- Inndata GoF'!E139/'Tillegg- Inndata GoF'!G139)*_xlfn.XLOOKUP(51, År_etter_ferdigstillelse,  IF(LEFT('Tillegg- Inndata GoF'!B139, 2)= 49, f_tid_x_f_tek_d_0_037, f_tid_x_f_tek_d_0_01)))</f>
        <v>0</v>
      </c>
      <c r="AG141" s="572">
        <f>IF(('Tillegg- Inndata GoF'!G139) = 0, 0,'Tillegg- Inndata GoF'!X139*Faktorer!$Z$58)</f>
        <v>0</v>
      </c>
      <c r="AH141" s="573">
        <f>IF(('Tillegg- Inndata GoF'!G139) = 0, 0,'Tillegg- Inndata GoF'!Z139+('Tillegg- Inndata GoF'!X139+'Tillegg- Inndata GoF'!Y139)*(1-Faktorer!$Z$58)*0.5)</f>
        <v>0</v>
      </c>
      <c r="AI141" s="574">
        <f>IF(('Tillegg- Inndata GoF'!G139) = 0, 0,'Tillegg- Inndata GoF'!AA139+('Tillegg- Inndata GoF'!X139+'Tillegg- Inndata GoF'!Y139)*(1-Faktorer!$Z$58)*0.5)</f>
        <v>0</v>
      </c>
      <c r="AK141" s="90">
        <f t="shared" si="2"/>
        <v>0</v>
      </c>
      <c r="AL141" s="91">
        <f>'Tillegg- Res. detaljert GoF'!N141</f>
        <v>0</v>
      </c>
      <c r="AM141" s="91" t="str">
        <f>IF(F141=0,"",('Tillegg- Inndata GoF'!E141+'Tillegg- Inndata GoF'!F141)*ROUNDDOWN('Tillegg- Inndata GoF'!I141,0)*(1+'Tillegg- Inndata GoF'!K141))</f>
        <v/>
      </c>
    </row>
    <row r="142" spans="2:39">
      <c r="B142" s="327">
        <f>'Tillegg- Inndata GoF'!B140</f>
        <v>0</v>
      </c>
      <c r="C142" s="328">
        <f>'Tillegg- Inndata GoF'!C140</f>
        <v>0</v>
      </c>
      <c r="D142" s="329">
        <f>'Tillegg- Inndata GoF'!D140</f>
        <v>0</v>
      </c>
      <c r="E142" s="661" cm="1">
        <f t="array" ref="E142">SUM(IFERROR(F142:AF142,0))</f>
        <v>0</v>
      </c>
      <c r="F142" s="330">
        <f>'Tillegg- Inndata GoF'!E140</f>
        <v>0</v>
      </c>
      <c r="G142" s="330">
        <f>IF('Tillegg- Inndata GoF'!AB140="Ja", -0.8*'Tillegg- Res. detaljert GoF'!$F142, 0)</f>
        <v>0</v>
      </c>
      <c r="H142" s="330">
        <f>IF('Tillegg- Inndata GoF'!AC140="Ja", -0.4*'Tillegg- Res. detaljert GoF'!$F142, 0)</f>
        <v>0</v>
      </c>
      <c r="I142" s="330">
        <f>IF('Tillegg- Inndata GoF'!AD140="Ja", -1*'Tillegg- Res. detaljert GoF'!$F142, 0)</f>
        <v>0</v>
      </c>
      <c r="J142" s="330">
        <f>'Tillegg- Inndata GoF'!O140*'Tillegg- Inndata GoF'!P140</f>
        <v>0</v>
      </c>
      <c r="K142" s="330">
        <f>MAX(-0.75*(SUM('Tillegg- Res. detaljert GoF'!F142:J142)),-'Tillegg- Inndata GoF'!O140*'Tillegg- Inndata GoF'!Q140)</f>
        <v>0</v>
      </c>
      <c r="L142" s="330">
        <f>'Tillegg- Inndata GoF'!S140*'Tillegg- Inndata GoF'!T140</f>
        <v>0</v>
      </c>
      <c r="M142" s="330">
        <f>MAX(-0.75*(SUM('Tillegg- Res. detaljert GoF'!F142:I142,L142)),-'Tillegg- Inndata GoF'!S140*'Tillegg- Inndata GoF'!U140)</f>
        <v>0</v>
      </c>
      <c r="N142" s="331">
        <f>'Tillegg- Inndata GoF'!F140</f>
        <v>0</v>
      </c>
      <c r="O142" s="330">
        <f>'Tillegg- Inndata GoF'!O140*'Tillegg- Inndata GoF'!R140</f>
        <v>0</v>
      </c>
      <c r="P142" s="332">
        <f>'Tillegg- Inndata GoF'!S140*'Tillegg- Inndata GoF'!V140</f>
        <v>0</v>
      </c>
      <c r="Q142" s="333">
        <f>SUM(F142:J142,L142)*'Tillegg- Inndata GoF'!K140</f>
        <v>0</v>
      </c>
      <c r="R142" s="333">
        <f>(K142+M142)*'Tillegg- Inndata GoF'!K140</f>
        <v>0</v>
      </c>
      <c r="S142" s="333">
        <f>SUM(N142:P142)*'Tillegg- Inndata GoF'!K140</f>
        <v>0</v>
      </c>
      <c r="T142" s="334">
        <f>('Tillegg- Inndata GoF'!G140+'Tillegg- Inndata GoF'!O140+'Tillegg- Inndata GoF'!S140)*'Tillegg- Inndata GoF'!K140*Transport_utslipp_til_avfallshånderting_per_kg</f>
        <v>0</v>
      </c>
      <c r="U142" s="330">
        <f>IF('Tillegg- Inndata GoF'!E140 = 0, 0, 1.833*'Tillegg- Inndata GoF'!X140*'Tillegg- Inndata GoF'!K140*('Tillegg- Inndata GoF'!G140*('Tillegg- Inndata GoF'!L140*0.5+'Tillegg- Inndata GoF'!M140*0.8) + (12/44)*('Tillegg- Inndata GoF'!O140*'Tillegg- Inndata GoF'!Q140+'Tillegg- Inndata GoF'!S140*'Tillegg- Inndata GoF'!U140)))</f>
        <v>0</v>
      </c>
      <c r="V142" s="335">
        <f>IF('Tillegg- Inndata GoF'!G140 = 0, 0,  MAX(-SUM(F142:J142,L142)*'Tillegg- Inndata GoF'!L140, -0.114*IF('Tillegg- Inndata GoF'!H140 &gt; 49, _xlfn.XLOOKUP(49, År_etter_ferdigstillelse, karbon_opptak_faktor), _xlfn.XLOOKUP('Tillegg- Inndata GoF'!H140, År_etter_ferdigstillelse, karbon_opptak_faktor))*'Tillegg- Inndata GoF'!G140*'Tillegg- Inndata GoF'!L140*0.5))</f>
        <v>0</v>
      </c>
      <c r="W142" s="333">
        <f>IF('Tillegg- Inndata GoF'!G140=0,0,IF('Tillegg- Inndata GoF'!H140&gt;49,-0.064*'Tillegg- Inndata GoF'!G140*'Tillegg- Inndata GoF'!N140,-0.037*'Tillegg- Inndata GoF'!J140*'Tillegg- Inndata GoF'!N140))</f>
        <v>0</v>
      </c>
      <c r="X142" s="331" cm="1">
        <f t="array" ref="X142">IF(SUM(F142:J142,L142)=0, 0, SUM(F142:J142,L142)*(1+'Tillegg-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Y142" s="330" cm="1">
        <f t="array" ref="Y142">IF(X142=0, 0, SUM(K142,M142)*(1+'Tillegg-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Z142" s="336" cm="1">
        <f t="array" ref="Z142">IF(X142=0, 0, SUM(N142:P142)*(1+'Tillegg-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AA142" s="336" cm="1">
        <f t="array" ref="AA142">IF(X142=0, 0, ('Tillegg- Inndata GoF'!G140+'Tillegg- Inndata GoF'!O140+'Tillegg- Inndata GoF'!S140)*(1+'Tillegg- Inndata GoF'!K140)*Transport_utslipp_til_avfallshånderting_per_kg*IF('Tillegg- Inndata GoF'!H140&gt;50, 0, _xlfn.XLOOKUP('Tillegg- Inndata GoF'!H140, År_etter_ferdigstillelse, IF(VALUE(LEFT('Tillegg- Inndata GoF'!B140, 2))= 49, f_tid_x_f_tek_d_0_037_kumulativ, f_tid_x_f_tek_d_0_01_kumulativ))))</f>
        <v>0</v>
      </c>
      <c r="AB142" s="334" cm="1">
        <f t="array" ref="AB142">IF(X142=0, 0,1.833*'Tillegg- Inndata GoF'!J140*('Tillegg- Inndata GoF'!X140*_xlfn.XLOOKUP(IF('Tillegg- Inndata GoF'!I140&lt;2,'Tillegg- Inndata GoF'!H140,'Tillegg- Inndata GoF'!H140*2), År_etter_ferdigstillelse, Faktorer!$Z$7:$Z$58))*('Tillegg- Inndata GoF'!L140*0.5+'Tillegg- Inndata GoF'!M140*0.8)*_xlfn.XLOOKUP(IF('Tillegg- Inndata GoF'!I140&lt;2,'Tillegg- Inndata GoF'!H140,'Tillegg- Inndata GoF'!H140*2), År_etter_ferdigstillelse,  IF(LEFT('Tillegg- Inndata GoF'!B140, 2)= 49, f_tid_x_f_tek_d_0_037, f_tid_x_f_tek_d_0_01)))</f>
        <v>0</v>
      </c>
      <c r="AC142" s="335">
        <f>IF(('Tillegg- Inndata GoF'!G140) = 0, 0,(('Tillegg- Inndata GoF'!G140)*((AG142+AI142)*Transport_utslipp_til_avfallshånderting_per_kg)+('Tillegg- Inndata GoF'!Z140*'ZERO-B Beregning'!D242)*IF('ZERO-B Beregning'!F243=0,'ZERO-B Beregning'!D243,'ZERO-B Beregning'!F243))*_xlfn.XLOOKUP(51, År_etter_ferdigstillelse, f_tid_x_f_tek_d_0_01))</f>
        <v>0</v>
      </c>
      <c r="AD142" s="337">
        <f>IF(('Tillegg- Inndata GoF'!G140) = 0, 0,1.833*('Tillegg- Inndata GoF'!G140*('Tillegg- Inndata GoF'!L140*0.5+'Tillegg- Inndata GoF'!M140*0.8)*AG142*_xlfn.XLOOKUP(51, År_etter_ferdigstillelse,  f_tid_x_f_tek_d_0_01)))</f>
        <v>0</v>
      </c>
      <c r="AE142" s="333" cm="1">
        <f t="array" ref="AE142">IF(('Tillegg- Inndata GoF'!G140) = 0, 0,-0.8*('Tillegg- Inndata GoF'!G140)*AH142*('Tillegg- Inndata GoF'!E140/'Tillegg- Inndata GoF'!G140)*_xlfn.XLOOKUP(51, År_etter_ferdigstillelse,  IF(LEFT('Tillegg- Inndata GoF'!B140, 2)= 49, f_tid_x_f_tek_d_0_037, f_tid_x_f_tek_d_0_01)))</f>
        <v>0</v>
      </c>
      <c r="AF142" s="338" cm="1">
        <f t="array" ref="AF142">IF(('Tillegg- Inndata GoF'!G140) = 0, 0,-0.1*('Tillegg- Inndata GoF'!G140)*AI142*('Tillegg- Inndata GoF'!E140/'Tillegg- Inndata GoF'!G140)*_xlfn.XLOOKUP(51, År_etter_ferdigstillelse,  IF(LEFT('Tillegg- Inndata GoF'!B140, 2)= 49, f_tid_x_f_tek_d_0_037, f_tid_x_f_tek_d_0_01)))</f>
        <v>0</v>
      </c>
      <c r="AG142" s="572">
        <f>IF(('Tillegg- Inndata GoF'!G140) = 0, 0,'Tillegg- Inndata GoF'!X140*Faktorer!$Z$58)</f>
        <v>0</v>
      </c>
      <c r="AH142" s="573">
        <f>IF(('Tillegg- Inndata GoF'!G140) = 0, 0,'Tillegg- Inndata GoF'!Z140+('Tillegg- Inndata GoF'!X140+'Tillegg- Inndata GoF'!Y140)*(1-Faktorer!$Z$58)*0.5)</f>
        <v>0</v>
      </c>
      <c r="AI142" s="574">
        <f>IF(('Tillegg- Inndata GoF'!G140) = 0, 0,'Tillegg- Inndata GoF'!AA140+('Tillegg- Inndata GoF'!X140+'Tillegg- Inndata GoF'!Y140)*(1-Faktorer!$Z$58)*0.5)</f>
        <v>0</v>
      </c>
      <c r="AK142" s="90">
        <f t="shared" si="2"/>
        <v>0</v>
      </c>
      <c r="AL142" s="91">
        <f>'Tillegg- Res. detaljert GoF'!N142</f>
        <v>0</v>
      </c>
      <c r="AM142" s="91" t="str">
        <f>IF(F142=0,"",('Tillegg- Inndata GoF'!E142+'Tillegg- Inndata GoF'!F142)*ROUNDDOWN('Tillegg- Inndata GoF'!I142,0)*(1+'Tillegg- Inndata GoF'!K142))</f>
        <v/>
      </c>
    </row>
    <row r="143" spans="2:39">
      <c r="B143" s="327">
        <f>'Tillegg- Inndata GoF'!B141</f>
        <v>0</v>
      </c>
      <c r="C143" s="328">
        <f>'Tillegg- Inndata GoF'!C141</f>
        <v>0</v>
      </c>
      <c r="D143" s="329">
        <f>'Tillegg- Inndata GoF'!D141</f>
        <v>0</v>
      </c>
      <c r="E143" s="661" cm="1">
        <f t="array" ref="E143">SUM(IFERROR(F143:AF143,0))</f>
        <v>0</v>
      </c>
      <c r="F143" s="330">
        <f>'Tillegg- Inndata GoF'!E141</f>
        <v>0</v>
      </c>
      <c r="G143" s="330">
        <f>IF('Tillegg- Inndata GoF'!AB141="Ja", -0.8*'Tillegg- Res. detaljert GoF'!$F143, 0)</f>
        <v>0</v>
      </c>
      <c r="H143" s="330">
        <f>IF('Tillegg- Inndata GoF'!AC141="Ja", -0.4*'Tillegg- Res. detaljert GoF'!$F143, 0)</f>
        <v>0</v>
      </c>
      <c r="I143" s="330">
        <f>IF('Tillegg- Inndata GoF'!AD141="Ja", -1*'Tillegg- Res. detaljert GoF'!$F143, 0)</f>
        <v>0</v>
      </c>
      <c r="J143" s="330">
        <f>'Tillegg- Inndata GoF'!O141*'Tillegg- Inndata GoF'!P141</f>
        <v>0</v>
      </c>
      <c r="K143" s="330">
        <f>MAX(-0.75*(SUM('Tillegg- Res. detaljert GoF'!F143:J143)),-'Tillegg- Inndata GoF'!O141*'Tillegg- Inndata GoF'!Q141)</f>
        <v>0</v>
      </c>
      <c r="L143" s="330">
        <f>'Tillegg- Inndata GoF'!S141*'Tillegg- Inndata GoF'!T141</f>
        <v>0</v>
      </c>
      <c r="M143" s="330">
        <f>MAX(-0.75*(SUM('Tillegg- Res. detaljert GoF'!F143:I143,L143)),-'Tillegg- Inndata GoF'!S141*'Tillegg- Inndata GoF'!U141)</f>
        <v>0</v>
      </c>
      <c r="N143" s="331">
        <f>'Tillegg- Inndata GoF'!F141</f>
        <v>0</v>
      </c>
      <c r="O143" s="330">
        <f>'Tillegg- Inndata GoF'!O141*'Tillegg- Inndata GoF'!R141</f>
        <v>0</v>
      </c>
      <c r="P143" s="332">
        <f>'Tillegg- Inndata GoF'!S141*'Tillegg- Inndata GoF'!V141</f>
        <v>0</v>
      </c>
      <c r="Q143" s="333">
        <f>SUM(F143:J143,L143)*'Tillegg- Inndata GoF'!K141</f>
        <v>0</v>
      </c>
      <c r="R143" s="333">
        <f>(K143+M143)*'Tillegg- Inndata GoF'!K141</f>
        <v>0</v>
      </c>
      <c r="S143" s="333">
        <f>SUM(N143:P143)*'Tillegg- Inndata GoF'!K141</f>
        <v>0</v>
      </c>
      <c r="T143" s="334">
        <f>('Tillegg- Inndata GoF'!G141+'Tillegg- Inndata GoF'!O141+'Tillegg- Inndata GoF'!S141)*'Tillegg- Inndata GoF'!K141*Transport_utslipp_til_avfallshånderting_per_kg</f>
        <v>0</v>
      </c>
      <c r="U143" s="330">
        <f>IF('Tillegg- Inndata GoF'!E141 = 0, 0, 1.833*'Tillegg- Inndata GoF'!X141*'Tillegg- Inndata GoF'!K141*('Tillegg- Inndata GoF'!G141*('Tillegg- Inndata GoF'!L141*0.5+'Tillegg- Inndata GoF'!M141*0.8) + (12/44)*('Tillegg- Inndata GoF'!O141*'Tillegg- Inndata GoF'!Q141+'Tillegg- Inndata GoF'!S141*'Tillegg- Inndata GoF'!U141)))</f>
        <v>0</v>
      </c>
      <c r="V143" s="335">
        <f>IF('Tillegg- Inndata GoF'!G141 = 0, 0,  MAX(-SUM(F143:J143,L143)*'Tillegg- Inndata GoF'!L141, -0.114*IF('Tillegg- Inndata GoF'!H141 &gt; 49, _xlfn.XLOOKUP(49, År_etter_ferdigstillelse, karbon_opptak_faktor), _xlfn.XLOOKUP('Tillegg- Inndata GoF'!H141, År_etter_ferdigstillelse, karbon_opptak_faktor))*'Tillegg- Inndata GoF'!G141*'Tillegg- Inndata GoF'!L141*0.5))</f>
        <v>0</v>
      </c>
      <c r="W143" s="333">
        <f>IF('Tillegg- Inndata GoF'!G141=0,0,IF('Tillegg- Inndata GoF'!H141&gt;49,-0.064*'Tillegg- Inndata GoF'!G141*'Tillegg- Inndata GoF'!N141,-0.037*'Tillegg- Inndata GoF'!J141*'Tillegg- Inndata GoF'!N141))</f>
        <v>0</v>
      </c>
      <c r="X143" s="331" cm="1">
        <f t="array" ref="X143">IF(SUM(F143:J143,L143)=0, 0, SUM(F143:J143,L143)*(1+'Tillegg-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Y143" s="330" cm="1">
        <f t="array" ref="Y143">IF(X143=0, 0, SUM(K143,M143)*(1+'Tillegg-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Z143" s="336" cm="1">
        <f t="array" ref="Z143">IF(X143=0, 0, SUM(N143:P143)*(1+'Tillegg-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AA143" s="336" cm="1">
        <f t="array" ref="AA143">IF(X143=0, 0, ('Tillegg- Inndata GoF'!G141+'Tillegg- Inndata GoF'!O141+'Tillegg- Inndata GoF'!S141)*(1+'Tillegg- Inndata GoF'!K141)*Transport_utslipp_til_avfallshånderting_per_kg*IF('Tillegg- Inndata GoF'!H141&gt;50, 0, _xlfn.XLOOKUP('Tillegg- Inndata GoF'!H141, År_etter_ferdigstillelse, IF(VALUE(LEFT('Tillegg- Inndata GoF'!B141, 2))= 49, f_tid_x_f_tek_d_0_037_kumulativ, f_tid_x_f_tek_d_0_01_kumulativ))))</f>
        <v>0</v>
      </c>
      <c r="AB143" s="334" cm="1">
        <f t="array" ref="AB143">IF(X143=0, 0,1.833*'Tillegg- Inndata GoF'!J141*('Tillegg- Inndata GoF'!X141*_xlfn.XLOOKUP(IF('Tillegg- Inndata GoF'!I141&lt;2,'Tillegg- Inndata GoF'!H141,'Tillegg- Inndata GoF'!H141*2), År_etter_ferdigstillelse, Faktorer!$Z$7:$Z$58))*('Tillegg- Inndata GoF'!L141*0.5+'Tillegg- Inndata GoF'!M141*0.8)*_xlfn.XLOOKUP(IF('Tillegg- Inndata GoF'!I141&lt;2,'Tillegg- Inndata GoF'!H141,'Tillegg- Inndata GoF'!H141*2), År_etter_ferdigstillelse,  IF(LEFT('Tillegg- Inndata GoF'!B141, 2)= 49, f_tid_x_f_tek_d_0_037, f_tid_x_f_tek_d_0_01)))</f>
        <v>0</v>
      </c>
      <c r="AC143" s="335">
        <f>IF(('Tillegg- Inndata GoF'!G141) = 0, 0,(('Tillegg- Inndata GoF'!G141)*((AG143+AI143)*Transport_utslipp_til_avfallshånderting_per_kg)+('Tillegg- Inndata GoF'!Z141*'ZERO-B Beregning'!D243)*IF('ZERO-B Beregning'!F244=0,'ZERO-B Beregning'!D244,'ZERO-B Beregning'!F244))*_xlfn.XLOOKUP(51, År_etter_ferdigstillelse, f_tid_x_f_tek_d_0_01))</f>
        <v>0</v>
      </c>
      <c r="AD143" s="337">
        <f>IF(('Tillegg- Inndata GoF'!G141) = 0, 0,1.833*('Tillegg- Inndata GoF'!G141*('Tillegg- Inndata GoF'!L141*0.5+'Tillegg- Inndata GoF'!M141*0.8)*AG143*_xlfn.XLOOKUP(51, År_etter_ferdigstillelse,  f_tid_x_f_tek_d_0_01)))</f>
        <v>0</v>
      </c>
      <c r="AE143" s="333" cm="1">
        <f t="array" ref="AE143">IF(('Tillegg- Inndata GoF'!G141) = 0, 0,-0.8*('Tillegg- Inndata GoF'!G141)*AH143*('Tillegg- Inndata GoF'!E141/'Tillegg- Inndata GoF'!G141)*_xlfn.XLOOKUP(51, År_etter_ferdigstillelse,  IF(LEFT('Tillegg- Inndata GoF'!B141, 2)= 49, f_tid_x_f_tek_d_0_037, f_tid_x_f_tek_d_0_01)))</f>
        <v>0</v>
      </c>
      <c r="AF143" s="338" cm="1">
        <f t="array" ref="AF143">IF(('Tillegg- Inndata GoF'!G141) = 0, 0,-0.1*('Tillegg- Inndata GoF'!G141)*AI143*('Tillegg- Inndata GoF'!E141/'Tillegg- Inndata GoF'!G141)*_xlfn.XLOOKUP(51, År_etter_ferdigstillelse,  IF(LEFT('Tillegg- Inndata GoF'!B141, 2)= 49, f_tid_x_f_tek_d_0_037, f_tid_x_f_tek_d_0_01)))</f>
        <v>0</v>
      </c>
      <c r="AG143" s="572">
        <f>IF(('Tillegg- Inndata GoF'!G141) = 0, 0,'Tillegg- Inndata GoF'!X141*Faktorer!$Z$58)</f>
        <v>0</v>
      </c>
      <c r="AH143" s="573">
        <f>IF(('Tillegg- Inndata GoF'!G141) = 0, 0,'Tillegg- Inndata GoF'!Z141+('Tillegg- Inndata GoF'!X141+'Tillegg- Inndata GoF'!Y141)*(1-Faktorer!$Z$58)*0.5)</f>
        <v>0</v>
      </c>
      <c r="AI143" s="574">
        <f>IF(('Tillegg- Inndata GoF'!G141) = 0, 0,'Tillegg- Inndata GoF'!AA141+('Tillegg- Inndata GoF'!X141+'Tillegg- Inndata GoF'!Y141)*(1-Faktorer!$Z$58)*0.5)</f>
        <v>0</v>
      </c>
      <c r="AK143" s="90">
        <f t="shared" ref="AK143:AK160" si="3">F143</f>
        <v>0</v>
      </c>
      <c r="AL143" s="91">
        <f>'Tillegg- Res. detaljert GoF'!N143</f>
        <v>0</v>
      </c>
      <c r="AM143" s="91" t="str">
        <f>IF(F143=0,"",('Tillegg- Inndata GoF'!E143+'Tillegg- Inndata GoF'!F143)*ROUNDDOWN('Tillegg- Inndata GoF'!I143,0)*(1+'Tillegg- Inndata GoF'!K143))</f>
        <v/>
      </c>
    </row>
    <row r="144" spans="2:39">
      <c r="B144" s="327">
        <f>'Tillegg- Inndata GoF'!B142</f>
        <v>0</v>
      </c>
      <c r="C144" s="328">
        <f>'Tillegg- Inndata GoF'!C142</f>
        <v>0</v>
      </c>
      <c r="D144" s="329">
        <f>'Tillegg- Inndata GoF'!D142</f>
        <v>0</v>
      </c>
      <c r="E144" s="661" cm="1">
        <f t="array" ref="E144">SUM(IFERROR(F144:AF144,0))</f>
        <v>0</v>
      </c>
      <c r="F144" s="330">
        <f>'Tillegg- Inndata GoF'!E142</f>
        <v>0</v>
      </c>
      <c r="G144" s="330">
        <f>IF('Tillegg- Inndata GoF'!AB142="Ja", -0.8*'Tillegg- Res. detaljert GoF'!$F144, 0)</f>
        <v>0</v>
      </c>
      <c r="H144" s="330">
        <f>IF('Tillegg- Inndata GoF'!AC142="Ja", -0.4*'Tillegg- Res. detaljert GoF'!$F144, 0)</f>
        <v>0</v>
      </c>
      <c r="I144" s="330">
        <f>IF('Tillegg- Inndata GoF'!AD142="Ja", -1*'Tillegg- Res. detaljert GoF'!$F144, 0)</f>
        <v>0</v>
      </c>
      <c r="J144" s="330">
        <f>'Tillegg- Inndata GoF'!O142*'Tillegg- Inndata GoF'!P142</f>
        <v>0</v>
      </c>
      <c r="K144" s="330">
        <f>MAX(-0.75*(SUM('Tillegg- Res. detaljert GoF'!F144:J144)),-'Tillegg- Inndata GoF'!O142*'Tillegg- Inndata GoF'!Q142)</f>
        <v>0</v>
      </c>
      <c r="L144" s="330">
        <f>'Tillegg- Inndata GoF'!S142*'Tillegg- Inndata GoF'!T142</f>
        <v>0</v>
      </c>
      <c r="M144" s="330">
        <f>MAX(-0.75*(SUM('Tillegg- Res. detaljert GoF'!F144:I144,L144)),-'Tillegg- Inndata GoF'!S142*'Tillegg- Inndata GoF'!U142)</f>
        <v>0</v>
      </c>
      <c r="N144" s="331">
        <f>'Tillegg- Inndata GoF'!F142</f>
        <v>0</v>
      </c>
      <c r="O144" s="330">
        <f>'Tillegg- Inndata GoF'!O142*'Tillegg- Inndata GoF'!R142</f>
        <v>0</v>
      </c>
      <c r="P144" s="332">
        <f>'Tillegg- Inndata GoF'!S142*'Tillegg- Inndata GoF'!V142</f>
        <v>0</v>
      </c>
      <c r="Q144" s="333">
        <f>SUM(F144:J144,L144)*'Tillegg- Inndata GoF'!K142</f>
        <v>0</v>
      </c>
      <c r="R144" s="333">
        <f>(K144+M144)*'Tillegg- Inndata GoF'!K142</f>
        <v>0</v>
      </c>
      <c r="S144" s="333">
        <f>SUM(N144:P144)*'Tillegg- Inndata GoF'!K142</f>
        <v>0</v>
      </c>
      <c r="T144" s="334">
        <f>('Tillegg- Inndata GoF'!G142+'Tillegg- Inndata GoF'!O142+'Tillegg- Inndata GoF'!S142)*'Tillegg- Inndata GoF'!K142*Transport_utslipp_til_avfallshånderting_per_kg</f>
        <v>0</v>
      </c>
      <c r="U144" s="330">
        <f>IF('Tillegg- Inndata GoF'!E142 = 0, 0, 1.833*'Tillegg- Inndata GoF'!X142*'Tillegg- Inndata GoF'!K142*('Tillegg- Inndata GoF'!G142*('Tillegg- Inndata GoF'!L142*0.5+'Tillegg- Inndata GoF'!M142*0.8) + (12/44)*('Tillegg- Inndata GoF'!O142*'Tillegg- Inndata GoF'!Q142+'Tillegg- Inndata GoF'!S142*'Tillegg- Inndata GoF'!U142)))</f>
        <v>0</v>
      </c>
      <c r="V144" s="335">
        <f>IF('Tillegg- Inndata GoF'!G142 = 0, 0,  MAX(-SUM(F144:J144,L144)*'Tillegg- Inndata GoF'!L142, -0.114*IF('Tillegg- Inndata GoF'!H142 &gt; 49, _xlfn.XLOOKUP(49, År_etter_ferdigstillelse, karbon_opptak_faktor), _xlfn.XLOOKUP('Tillegg- Inndata GoF'!H142, År_etter_ferdigstillelse, karbon_opptak_faktor))*'Tillegg- Inndata GoF'!G142*'Tillegg- Inndata GoF'!L142*0.5))</f>
        <v>0</v>
      </c>
      <c r="W144" s="333">
        <f>IF('Tillegg- Inndata GoF'!G142=0,0,IF('Tillegg- Inndata GoF'!H142&gt;49,-0.064*'Tillegg- Inndata GoF'!G142*'Tillegg- Inndata GoF'!N142,-0.037*'Tillegg- Inndata GoF'!J142*'Tillegg- Inndata GoF'!N142))</f>
        <v>0</v>
      </c>
      <c r="X144" s="331" cm="1">
        <f t="array" ref="X144">IF(SUM(F144:J144,L144)=0, 0, SUM(F144:J144,L144)*(1+'Tillegg-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Y144" s="330" cm="1">
        <f t="array" ref="Y144">IF(X144=0, 0, SUM(K144,M144)*(1+'Tillegg-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Z144" s="336" cm="1">
        <f t="array" ref="Z144">IF(X144=0, 0, SUM(N144:P144)*(1+'Tillegg-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AA144" s="336" cm="1">
        <f t="array" ref="AA144">IF(X144=0, 0, ('Tillegg- Inndata GoF'!G142+'Tillegg- Inndata GoF'!O142+'Tillegg- Inndata GoF'!S142)*(1+'Tillegg- Inndata GoF'!K142)*Transport_utslipp_til_avfallshånderting_per_kg*IF('Tillegg- Inndata GoF'!H142&gt;50, 0, _xlfn.XLOOKUP('Tillegg- Inndata GoF'!H142, År_etter_ferdigstillelse, IF(VALUE(LEFT('Tillegg- Inndata GoF'!B142, 2))= 49, f_tid_x_f_tek_d_0_037_kumulativ, f_tid_x_f_tek_d_0_01_kumulativ))))</f>
        <v>0</v>
      </c>
      <c r="AB144" s="334" cm="1">
        <f t="array" ref="AB144">IF(X144=0, 0,1.833*'Tillegg- Inndata GoF'!J142*('Tillegg- Inndata GoF'!X142*_xlfn.XLOOKUP(IF('Tillegg- Inndata GoF'!I142&lt;2,'Tillegg- Inndata GoF'!H142,'Tillegg- Inndata GoF'!H142*2), År_etter_ferdigstillelse, Faktorer!$Z$7:$Z$58))*('Tillegg- Inndata GoF'!L142*0.5+'Tillegg- Inndata GoF'!M142*0.8)*_xlfn.XLOOKUP(IF('Tillegg- Inndata GoF'!I142&lt;2,'Tillegg- Inndata GoF'!H142,'Tillegg- Inndata GoF'!H142*2), År_etter_ferdigstillelse,  IF(LEFT('Tillegg- Inndata GoF'!B142, 2)= 49, f_tid_x_f_tek_d_0_037, f_tid_x_f_tek_d_0_01)))</f>
        <v>0</v>
      </c>
      <c r="AC144" s="335">
        <f>IF(('Tillegg- Inndata GoF'!G142) = 0, 0,(('Tillegg- Inndata GoF'!G142)*((AG144+AI144)*Transport_utslipp_til_avfallshånderting_per_kg)+('Tillegg- Inndata GoF'!Z142*'ZERO-B Beregning'!D244)*IF('ZERO-B Beregning'!F245=0,'ZERO-B Beregning'!D245,'ZERO-B Beregning'!F245))*_xlfn.XLOOKUP(51, År_etter_ferdigstillelse, f_tid_x_f_tek_d_0_01))</f>
        <v>0</v>
      </c>
      <c r="AD144" s="337">
        <f>IF(('Tillegg- Inndata GoF'!G142) = 0, 0,1.833*('Tillegg- Inndata GoF'!G142*('Tillegg- Inndata GoF'!L142*0.5+'Tillegg- Inndata GoF'!M142*0.8)*AG144*_xlfn.XLOOKUP(51, År_etter_ferdigstillelse,  f_tid_x_f_tek_d_0_01)))</f>
        <v>0</v>
      </c>
      <c r="AE144" s="333" cm="1">
        <f t="array" ref="AE144">IF(('Tillegg- Inndata GoF'!G142) = 0, 0,-0.8*('Tillegg- Inndata GoF'!G142)*AH144*('Tillegg- Inndata GoF'!E142/'Tillegg- Inndata GoF'!G142)*_xlfn.XLOOKUP(51, År_etter_ferdigstillelse,  IF(LEFT('Tillegg- Inndata GoF'!B142, 2)= 49, f_tid_x_f_tek_d_0_037, f_tid_x_f_tek_d_0_01)))</f>
        <v>0</v>
      </c>
      <c r="AF144" s="338" cm="1">
        <f t="array" ref="AF144">IF(('Tillegg- Inndata GoF'!G142) = 0, 0,-0.1*('Tillegg- Inndata GoF'!G142)*AI144*('Tillegg- Inndata GoF'!E142/'Tillegg- Inndata GoF'!G142)*_xlfn.XLOOKUP(51, År_etter_ferdigstillelse,  IF(LEFT('Tillegg- Inndata GoF'!B142, 2)= 49, f_tid_x_f_tek_d_0_037, f_tid_x_f_tek_d_0_01)))</f>
        <v>0</v>
      </c>
      <c r="AG144" s="572">
        <f>IF(('Tillegg- Inndata GoF'!G142) = 0, 0,'Tillegg- Inndata GoF'!X142*Faktorer!$Z$58)</f>
        <v>0</v>
      </c>
      <c r="AH144" s="573">
        <f>IF(('Tillegg- Inndata GoF'!G142) = 0, 0,'Tillegg- Inndata GoF'!Z142+('Tillegg- Inndata GoF'!X142+'Tillegg- Inndata GoF'!Y142)*(1-Faktorer!$Z$58)*0.5)</f>
        <v>0</v>
      </c>
      <c r="AI144" s="574">
        <f>IF(('Tillegg- Inndata GoF'!G142) = 0, 0,'Tillegg- Inndata GoF'!AA142+('Tillegg- Inndata GoF'!X142+'Tillegg- Inndata GoF'!Y142)*(1-Faktorer!$Z$58)*0.5)</f>
        <v>0</v>
      </c>
      <c r="AK144" s="90">
        <f t="shared" si="3"/>
        <v>0</v>
      </c>
      <c r="AL144" s="91">
        <f>'Tillegg- Res. detaljert GoF'!N144</f>
        <v>0</v>
      </c>
      <c r="AM144" s="91" t="str">
        <f>IF(F144=0,"",('Tillegg- Inndata GoF'!E144+'Tillegg- Inndata GoF'!F144)*ROUNDDOWN('Tillegg- Inndata GoF'!I144,0)*(1+'Tillegg- Inndata GoF'!K144))</f>
        <v/>
      </c>
    </row>
    <row r="145" spans="2:39">
      <c r="B145" s="327">
        <f>'Tillegg- Inndata GoF'!B143</f>
        <v>0</v>
      </c>
      <c r="C145" s="328">
        <f>'Tillegg- Inndata GoF'!C143</f>
        <v>0</v>
      </c>
      <c r="D145" s="329">
        <f>'Tillegg- Inndata GoF'!D143</f>
        <v>0</v>
      </c>
      <c r="E145" s="661" cm="1">
        <f t="array" ref="E145">SUM(IFERROR(F145:AF145,0))</f>
        <v>0</v>
      </c>
      <c r="F145" s="330">
        <f>'Tillegg- Inndata GoF'!E143</f>
        <v>0</v>
      </c>
      <c r="G145" s="330">
        <f>IF('Tillegg- Inndata GoF'!AB143="Ja", -0.8*'Tillegg- Res. detaljert GoF'!$F145, 0)</f>
        <v>0</v>
      </c>
      <c r="H145" s="330">
        <f>IF('Tillegg- Inndata GoF'!AC143="Ja", -0.4*'Tillegg- Res. detaljert GoF'!$F145, 0)</f>
        <v>0</v>
      </c>
      <c r="I145" s="330">
        <f>IF('Tillegg- Inndata GoF'!AD143="Ja", -1*'Tillegg- Res. detaljert GoF'!$F145, 0)</f>
        <v>0</v>
      </c>
      <c r="J145" s="330">
        <f>'Tillegg- Inndata GoF'!O143*'Tillegg- Inndata GoF'!P143</f>
        <v>0</v>
      </c>
      <c r="K145" s="330">
        <f>MAX(-0.75*(SUM('Tillegg- Res. detaljert GoF'!F145:J145)),-'Tillegg- Inndata GoF'!O143*'Tillegg- Inndata GoF'!Q143)</f>
        <v>0</v>
      </c>
      <c r="L145" s="330">
        <f>'Tillegg- Inndata GoF'!S143*'Tillegg- Inndata GoF'!T143</f>
        <v>0</v>
      </c>
      <c r="M145" s="330">
        <f>MAX(-0.75*(SUM('Tillegg- Res. detaljert GoF'!F145:I145,L145)),-'Tillegg- Inndata GoF'!S143*'Tillegg- Inndata GoF'!U143)</f>
        <v>0</v>
      </c>
      <c r="N145" s="331">
        <f>'Tillegg- Inndata GoF'!F143</f>
        <v>0</v>
      </c>
      <c r="O145" s="330">
        <f>'Tillegg- Inndata GoF'!O143*'Tillegg- Inndata GoF'!R143</f>
        <v>0</v>
      </c>
      <c r="P145" s="332">
        <f>'Tillegg- Inndata GoF'!S143*'Tillegg- Inndata GoF'!V143</f>
        <v>0</v>
      </c>
      <c r="Q145" s="333">
        <f>SUM(F145:J145,L145)*'Tillegg- Inndata GoF'!K143</f>
        <v>0</v>
      </c>
      <c r="R145" s="333">
        <f>(K145+M145)*'Tillegg- Inndata GoF'!K143</f>
        <v>0</v>
      </c>
      <c r="S145" s="333">
        <f>SUM(N145:P145)*'Tillegg- Inndata GoF'!K143</f>
        <v>0</v>
      </c>
      <c r="T145" s="334">
        <f>('Tillegg- Inndata GoF'!G143+'Tillegg- Inndata GoF'!O143+'Tillegg- Inndata GoF'!S143)*'Tillegg- Inndata GoF'!K143*Transport_utslipp_til_avfallshånderting_per_kg</f>
        <v>0</v>
      </c>
      <c r="U145" s="330">
        <f>IF('Tillegg- Inndata GoF'!E143 = 0, 0, 1.833*'Tillegg- Inndata GoF'!X143*'Tillegg- Inndata GoF'!K143*('Tillegg- Inndata GoF'!G143*('Tillegg- Inndata GoF'!L143*0.5+'Tillegg- Inndata GoF'!M143*0.8) + (12/44)*('Tillegg- Inndata GoF'!O143*'Tillegg- Inndata GoF'!Q143+'Tillegg- Inndata GoF'!S143*'Tillegg- Inndata GoF'!U143)))</f>
        <v>0</v>
      </c>
      <c r="V145" s="335">
        <f>IF('Tillegg- Inndata GoF'!G143 = 0, 0,  MAX(-SUM(F145:J145,L145)*'Tillegg- Inndata GoF'!L143, -0.114*IF('Tillegg- Inndata GoF'!H143 &gt; 49, _xlfn.XLOOKUP(49, År_etter_ferdigstillelse, karbon_opptak_faktor), _xlfn.XLOOKUP('Tillegg- Inndata GoF'!H143, År_etter_ferdigstillelse, karbon_opptak_faktor))*'Tillegg- Inndata GoF'!G143*'Tillegg- Inndata GoF'!L143*0.5))</f>
        <v>0</v>
      </c>
      <c r="W145" s="333">
        <f>IF('Tillegg- Inndata GoF'!G143=0,0,IF('Tillegg- Inndata GoF'!H143&gt;49,-0.064*'Tillegg- Inndata GoF'!G143*'Tillegg- Inndata GoF'!N143,-0.037*'Tillegg- Inndata GoF'!J143*'Tillegg- Inndata GoF'!N143))</f>
        <v>0</v>
      </c>
      <c r="X145" s="331" cm="1">
        <f t="array" ref="X145">IF(SUM(F145:J145,L145)=0, 0, SUM(F145:J145,L145)*(1+'Tillegg-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Y145" s="330" cm="1">
        <f t="array" ref="Y145">IF(X145=0, 0, SUM(K145,M145)*(1+'Tillegg-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Z145" s="336" cm="1">
        <f t="array" ref="Z145">IF(X145=0, 0, SUM(N145:P145)*(1+'Tillegg-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AA145" s="336" cm="1">
        <f t="array" ref="AA145">IF(X145=0, 0, ('Tillegg- Inndata GoF'!G143+'Tillegg- Inndata GoF'!O143+'Tillegg- Inndata GoF'!S143)*(1+'Tillegg- Inndata GoF'!K143)*Transport_utslipp_til_avfallshånderting_per_kg*IF('Tillegg- Inndata GoF'!H143&gt;50, 0, _xlfn.XLOOKUP('Tillegg- Inndata GoF'!H143, År_etter_ferdigstillelse, IF(VALUE(LEFT('Tillegg- Inndata GoF'!B143, 2))= 49, f_tid_x_f_tek_d_0_037_kumulativ, f_tid_x_f_tek_d_0_01_kumulativ))))</f>
        <v>0</v>
      </c>
      <c r="AB145" s="334" cm="1">
        <f t="array" ref="AB145">IF(X145=0, 0,1.833*'Tillegg- Inndata GoF'!J143*('Tillegg- Inndata GoF'!X143*_xlfn.XLOOKUP(IF('Tillegg- Inndata GoF'!I143&lt;2,'Tillegg- Inndata GoF'!H143,'Tillegg- Inndata GoF'!H143*2), År_etter_ferdigstillelse, Faktorer!$Z$7:$Z$58))*('Tillegg- Inndata GoF'!L143*0.5+'Tillegg- Inndata GoF'!M143*0.8)*_xlfn.XLOOKUP(IF('Tillegg- Inndata GoF'!I143&lt;2,'Tillegg- Inndata GoF'!H143,'Tillegg- Inndata GoF'!H143*2), År_etter_ferdigstillelse,  IF(LEFT('Tillegg- Inndata GoF'!B143, 2)= 49, f_tid_x_f_tek_d_0_037, f_tid_x_f_tek_d_0_01)))</f>
        <v>0</v>
      </c>
      <c r="AC145" s="335">
        <f>IF(('Tillegg- Inndata GoF'!G143) = 0, 0,(('Tillegg- Inndata GoF'!G143)*((AG145+AI145)*Transport_utslipp_til_avfallshånderting_per_kg)+('Tillegg- Inndata GoF'!Z143*'ZERO-B Beregning'!D245)*IF('ZERO-B Beregning'!F246=0,'ZERO-B Beregning'!D246,'ZERO-B Beregning'!F246))*_xlfn.XLOOKUP(51, År_etter_ferdigstillelse, f_tid_x_f_tek_d_0_01))</f>
        <v>0</v>
      </c>
      <c r="AD145" s="337">
        <f>IF(('Tillegg- Inndata GoF'!G143) = 0, 0,1.833*('Tillegg- Inndata GoF'!G143*('Tillegg- Inndata GoF'!L143*0.5+'Tillegg- Inndata GoF'!M143*0.8)*AG145*_xlfn.XLOOKUP(51, År_etter_ferdigstillelse,  f_tid_x_f_tek_d_0_01)))</f>
        <v>0</v>
      </c>
      <c r="AE145" s="333" cm="1">
        <f t="array" ref="AE145">IF(('Tillegg- Inndata GoF'!G143) = 0, 0,-0.8*('Tillegg- Inndata GoF'!G143)*AH145*('Tillegg- Inndata GoF'!E143/'Tillegg- Inndata GoF'!G143)*_xlfn.XLOOKUP(51, År_etter_ferdigstillelse,  IF(LEFT('Tillegg- Inndata GoF'!B143, 2)= 49, f_tid_x_f_tek_d_0_037, f_tid_x_f_tek_d_0_01)))</f>
        <v>0</v>
      </c>
      <c r="AF145" s="338" cm="1">
        <f t="array" ref="AF145">IF(('Tillegg- Inndata GoF'!G143) = 0, 0,-0.1*('Tillegg- Inndata GoF'!G143)*AI145*('Tillegg- Inndata GoF'!E143/'Tillegg- Inndata GoF'!G143)*_xlfn.XLOOKUP(51, År_etter_ferdigstillelse,  IF(LEFT('Tillegg- Inndata GoF'!B143, 2)= 49, f_tid_x_f_tek_d_0_037, f_tid_x_f_tek_d_0_01)))</f>
        <v>0</v>
      </c>
      <c r="AG145" s="572">
        <f>IF(('Tillegg- Inndata GoF'!G143) = 0, 0,'Tillegg- Inndata GoF'!X143*Faktorer!$Z$58)</f>
        <v>0</v>
      </c>
      <c r="AH145" s="573">
        <f>IF(('Tillegg- Inndata GoF'!G143) = 0, 0,'Tillegg- Inndata GoF'!Z143+('Tillegg- Inndata GoF'!X143+'Tillegg- Inndata GoF'!Y143)*(1-Faktorer!$Z$58)*0.5)</f>
        <v>0</v>
      </c>
      <c r="AI145" s="574">
        <f>IF(('Tillegg- Inndata GoF'!G143) = 0, 0,'Tillegg- Inndata GoF'!AA143+('Tillegg- Inndata GoF'!X143+'Tillegg- Inndata GoF'!Y143)*(1-Faktorer!$Z$58)*0.5)</f>
        <v>0</v>
      </c>
      <c r="AK145" s="90">
        <f t="shared" si="3"/>
        <v>0</v>
      </c>
      <c r="AL145" s="91">
        <f>'Tillegg- Res. detaljert GoF'!N145</f>
        <v>0</v>
      </c>
      <c r="AM145" s="91" t="str">
        <f>IF(F145=0,"",('Tillegg- Inndata GoF'!E145+'Tillegg- Inndata GoF'!F145)*ROUNDDOWN('Tillegg- Inndata GoF'!I145,0)*(1+'Tillegg- Inndata GoF'!K145))</f>
        <v/>
      </c>
    </row>
    <row r="146" spans="2:39">
      <c r="B146" s="327">
        <f>'Tillegg- Inndata GoF'!B144</f>
        <v>0</v>
      </c>
      <c r="C146" s="328">
        <f>'Tillegg- Inndata GoF'!C144</f>
        <v>0</v>
      </c>
      <c r="D146" s="329">
        <f>'Tillegg- Inndata GoF'!D144</f>
        <v>0</v>
      </c>
      <c r="E146" s="661" cm="1">
        <f t="array" ref="E146">SUM(IFERROR(F146:AF146,0))</f>
        <v>0</v>
      </c>
      <c r="F146" s="330">
        <f>'Tillegg- Inndata GoF'!E144</f>
        <v>0</v>
      </c>
      <c r="G146" s="330">
        <f>IF('Tillegg- Inndata GoF'!AB144="Ja", -0.8*'Tillegg- Res. detaljert GoF'!$F146, 0)</f>
        <v>0</v>
      </c>
      <c r="H146" s="330">
        <f>IF('Tillegg- Inndata GoF'!AC144="Ja", -0.4*'Tillegg- Res. detaljert GoF'!$F146, 0)</f>
        <v>0</v>
      </c>
      <c r="I146" s="330">
        <f>IF('Tillegg- Inndata GoF'!AD144="Ja", -1*'Tillegg- Res. detaljert GoF'!$F146, 0)</f>
        <v>0</v>
      </c>
      <c r="J146" s="330">
        <f>'Tillegg- Inndata GoF'!O144*'Tillegg- Inndata GoF'!P144</f>
        <v>0</v>
      </c>
      <c r="K146" s="330">
        <f>MAX(-0.75*(SUM('Tillegg- Res. detaljert GoF'!F146:J146)),-'Tillegg- Inndata GoF'!O144*'Tillegg- Inndata GoF'!Q144)</f>
        <v>0</v>
      </c>
      <c r="L146" s="330">
        <f>'Tillegg- Inndata GoF'!S144*'Tillegg- Inndata GoF'!T144</f>
        <v>0</v>
      </c>
      <c r="M146" s="330">
        <f>MAX(-0.75*(SUM('Tillegg- Res. detaljert GoF'!F146:I146,L146)),-'Tillegg- Inndata GoF'!S144*'Tillegg- Inndata GoF'!U144)</f>
        <v>0</v>
      </c>
      <c r="N146" s="331">
        <f>'Tillegg- Inndata GoF'!F144</f>
        <v>0</v>
      </c>
      <c r="O146" s="330">
        <f>'Tillegg- Inndata GoF'!O144*'Tillegg- Inndata GoF'!R144</f>
        <v>0</v>
      </c>
      <c r="P146" s="332">
        <f>'Tillegg- Inndata GoF'!S144*'Tillegg- Inndata GoF'!V144</f>
        <v>0</v>
      </c>
      <c r="Q146" s="333">
        <f>SUM(F146:J146,L146)*'Tillegg- Inndata GoF'!K144</f>
        <v>0</v>
      </c>
      <c r="R146" s="333">
        <f>(K146+M146)*'Tillegg- Inndata GoF'!K144</f>
        <v>0</v>
      </c>
      <c r="S146" s="333">
        <f>SUM(N146:P146)*'Tillegg- Inndata GoF'!K144</f>
        <v>0</v>
      </c>
      <c r="T146" s="334">
        <f>('Tillegg- Inndata GoF'!G144+'Tillegg- Inndata GoF'!O144+'Tillegg- Inndata GoF'!S144)*'Tillegg- Inndata GoF'!K144*Transport_utslipp_til_avfallshånderting_per_kg</f>
        <v>0</v>
      </c>
      <c r="U146" s="330">
        <f>IF('Tillegg- Inndata GoF'!E144 = 0, 0, 1.833*'Tillegg- Inndata GoF'!X144*'Tillegg- Inndata GoF'!K144*('Tillegg- Inndata GoF'!G144*('Tillegg- Inndata GoF'!L144*0.5+'Tillegg- Inndata GoF'!M144*0.8) + (12/44)*('Tillegg- Inndata GoF'!O144*'Tillegg- Inndata GoF'!Q144+'Tillegg- Inndata GoF'!S144*'Tillegg- Inndata GoF'!U144)))</f>
        <v>0</v>
      </c>
      <c r="V146" s="335">
        <f>IF('Tillegg- Inndata GoF'!G144 = 0, 0,  MAX(-SUM(F146:J146,L146)*'Tillegg- Inndata GoF'!L144, -0.114*IF('Tillegg- Inndata GoF'!H144 &gt; 49, _xlfn.XLOOKUP(49, År_etter_ferdigstillelse, karbon_opptak_faktor), _xlfn.XLOOKUP('Tillegg- Inndata GoF'!H144, År_etter_ferdigstillelse, karbon_opptak_faktor))*'Tillegg- Inndata GoF'!G144*'Tillegg- Inndata GoF'!L144*0.5))</f>
        <v>0</v>
      </c>
      <c r="W146" s="333">
        <f>IF('Tillegg- Inndata GoF'!G144=0,0,IF('Tillegg- Inndata GoF'!H144&gt;49,-0.064*'Tillegg- Inndata GoF'!G144*'Tillegg- Inndata GoF'!N144,-0.037*'Tillegg- Inndata GoF'!J144*'Tillegg- Inndata GoF'!N144))</f>
        <v>0</v>
      </c>
      <c r="X146" s="331" cm="1">
        <f t="array" ref="X146">IF(SUM(F146:J146,L146)=0, 0, SUM(F146:J146,L146)*(1+'Tillegg-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Y146" s="330" cm="1">
        <f t="array" ref="Y146">IF(X146=0, 0, SUM(K146,M146)*(1+'Tillegg-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Z146" s="336" cm="1">
        <f t="array" ref="Z146">IF(X146=0, 0, SUM(N146:P146)*(1+'Tillegg-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AA146" s="336" cm="1">
        <f t="array" ref="AA146">IF(X146=0, 0, ('Tillegg- Inndata GoF'!G144+'Tillegg- Inndata GoF'!O144+'Tillegg- Inndata GoF'!S144)*(1+'Tillegg- Inndata GoF'!K144)*Transport_utslipp_til_avfallshånderting_per_kg*IF('Tillegg- Inndata GoF'!H144&gt;50, 0, _xlfn.XLOOKUP('Tillegg- Inndata GoF'!H144, År_etter_ferdigstillelse, IF(VALUE(LEFT('Tillegg- Inndata GoF'!B144, 2))= 49, f_tid_x_f_tek_d_0_037_kumulativ, f_tid_x_f_tek_d_0_01_kumulativ))))</f>
        <v>0</v>
      </c>
      <c r="AB146" s="334" cm="1">
        <f t="array" ref="AB146">IF(X146=0, 0,1.833*'Tillegg- Inndata GoF'!J144*('Tillegg- Inndata GoF'!X144*_xlfn.XLOOKUP(IF('Tillegg- Inndata GoF'!I144&lt;2,'Tillegg- Inndata GoF'!H144,'Tillegg- Inndata GoF'!H144*2), År_etter_ferdigstillelse, Faktorer!$Z$7:$Z$58))*('Tillegg- Inndata GoF'!L144*0.5+'Tillegg- Inndata GoF'!M144*0.8)*_xlfn.XLOOKUP(IF('Tillegg- Inndata GoF'!I144&lt;2,'Tillegg- Inndata GoF'!H144,'Tillegg- Inndata GoF'!H144*2), År_etter_ferdigstillelse,  IF(LEFT('Tillegg- Inndata GoF'!B144, 2)= 49, f_tid_x_f_tek_d_0_037, f_tid_x_f_tek_d_0_01)))</f>
        <v>0</v>
      </c>
      <c r="AC146" s="335">
        <f>IF(('Tillegg- Inndata GoF'!G144) = 0, 0,(('Tillegg- Inndata GoF'!G144)*((AG146+AI146)*Transport_utslipp_til_avfallshånderting_per_kg)+('Tillegg- Inndata GoF'!Z144*'ZERO-B Beregning'!D246)*IF('ZERO-B Beregning'!F247=0,'ZERO-B Beregning'!D247,'ZERO-B Beregning'!F247))*_xlfn.XLOOKUP(51, År_etter_ferdigstillelse, f_tid_x_f_tek_d_0_01))</f>
        <v>0</v>
      </c>
      <c r="AD146" s="337">
        <f>IF(('Tillegg- Inndata GoF'!G144) = 0, 0,1.833*('Tillegg- Inndata GoF'!G144*('Tillegg- Inndata GoF'!L144*0.5+'Tillegg- Inndata GoF'!M144*0.8)*AG146*_xlfn.XLOOKUP(51, År_etter_ferdigstillelse,  f_tid_x_f_tek_d_0_01)))</f>
        <v>0</v>
      </c>
      <c r="AE146" s="333" cm="1">
        <f t="array" ref="AE146">IF(('Tillegg- Inndata GoF'!G144) = 0, 0,-0.8*('Tillegg- Inndata GoF'!G144)*AH146*('Tillegg- Inndata GoF'!E144/'Tillegg- Inndata GoF'!G144)*_xlfn.XLOOKUP(51, År_etter_ferdigstillelse,  IF(LEFT('Tillegg- Inndata GoF'!B144, 2)= 49, f_tid_x_f_tek_d_0_037, f_tid_x_f_tek_d_0_01)))</f>
        <v>0</v>
      </c>
      <c r="AF146" s="338" cm="1">
        <f t="array" ref="AF146">IF(('Tillegg- Inndata GoF'!G144) = 0, 0,-0.1*('Tillegg- Inndata GoF'!G144)*AI146*('Tillegg- Inndata GoF'!E144/'Tillegg- Inndata GoF'!G144)*_xlfn.XLOOKUP(51, År_etter_ferdigstillelse,  IF(LEFT('Tillegg- Inndata GoF'!B144, 2)= 49, f_tid_x_f_tek_d_0_037, f_tid_x_f_tek_d_0_01)))</f>
        <v>0</v>
      </c>
      <c r="AG146" s="572">
        <f>IF(('Tillegg- Inndata GoF'!G144) = 0, 0,'Tillegg- Inndata GoF'!X144*Faktorer!$Z$58)</f>
        <v>0</v>
      </c>
      <c r="AH146" s="573">
        <f>IF(('Tillegg- Inndata GoF'!G144) = 0, 0,'Tillegg- Inndata GoF'!Z144+('Tillegg- Inndata GoF'!X144+'Tillegg- Inndata GoF'!Y144)*(1-Faktorer!$Z$58)*0.5)</f>
        <v>0</v>
      </c>
      <c r="AI146" s="574">
        <f>IF(('Tillegg- Inndata GoF'!G144) = 0, 0,'Tillegg- Inndata GoF'!AA144+('Tillegg- Inndata GoF'!X144+'Tillegg- Inndata GoF'!Y144)*(1-Faktorer!$Z$58)*0.5)</f>
        <v>0</v>
      </c>
      <c r="AK146" s="90">
        <f t="shared" si="3"/>
        <v>0</v>
      </c>
      <c r="AL146" s="91">
        <f>'Tillegg- Res. detaljert GoF'!N146</f>
        <v>0</v>
      </c>
      <c r="AM146" s="91" t="str">
        <f>IF(F146=0,"",('Tillegg- Inndata GoF'!E146+'Tillegg- Inndata GoF'!F146)*ROUNDDOWN('Tillegg- Inndata GoF'!I146,0)*(1+'Tillegg- Inndata GoF'!K146))</f>
        <v/>
      </c>
    </row>
    <row r="147" spans="2:39">
      <c r="B147" s="327">
        <f>'Tillegg- Inndata GoF'!B145</f>
        <v>0</v>
      </c>
      <c r="C147" s="328">
        <f>'Tillegg- Inndata GoF'!C145</f>
        <v>0</v>
      </c>
      <c r="D147" s="329">
        <f>'Tillegg- Inndata GoF'!D145</f>
        <v>0</v>
      </c>
      <c r="E147" s="661" cm="1">
        <f t="array" ref="E147">SUM(IFERROR(F147:AF147,0))</f>
        <v>0</v>
      </c>
      <c r="F147" s="330">
        <f>'Tillegg- Inndata GoF'!E145</f>
        <v>0</v>
      </c>
      <c r="G147" s="330">
        <f>IF('Tillegg- Inndata GoF'!AB145="Ja", -0.8*'Tillegg- Res. detaljert GoF'!$F147, 0)</f>
        <v>0</v>
      </c>
      <c r="H147" s="330">
        <f>IF('Tillegg- Inndata GoF'!AC145="Ja", -0.4*'Tillegg- Res. detaljert GoF'!$F147, 0)</f>
        <v>0</v>
      </c>
      <c r="I147" s="330">
        <f>IF('Tillegg- Inndata GoF'!AD145="Ja", -1*'Tillegg- Res. detaljert GoF'!$F147, 0)</f>
        <v>0</v>
      </c>
      <c r="J147" s="330">
        <f>'Tillegg- Inndata GoF'!O145*'Tillegg- Inndata GoF'!P145</f>
        <v>0</v>
      </c>
      <c r="K147" s="330">
        <f>MAX(-0.75*(SUM('Tillegg- Res. detaljert GoF'!F147:J147)),-'Tillegg- Inndata GoF'!O145*'Tillegg- Inndata GoF'!Q145)</f>
        <v>0</v>
      </c>
      <c r="L147" s="330">
        <f>'Tillegg- Inndata GoF'!S145*'Tillegg- Inndata GoF'!T145</f>
        <v>0</v>
      </c>
      <c r="M147" s="330">
        <f>MAX(-0.75*(SUM('Tillegg- Res. detaljert GoF'!F147:I147,L147)),-'Tillegg- Inndata GoF'!S145*'Tillegg- Inndata GoF'!U145)</f>
        <v>0</v>
      </c>
      <c r="N147" s="331">
        <f>'Tillegg- Inndata GoF'!F145</f>
        <v>0</v>
      </c>
      <c r="O147" s="330">
        <f>'Tillegg- Inndata GoF'!O145*'Tillegg- Inndata GoF'!R145</f>
        <v>0</v>
      </c>
      <c r="P147" s="332">
        <f>'Tillegg- Inndata GoF'!S145*'Tillegg- Inndata GoF'!V145</f>
        <v>0</v>
      </c>
      <c r="Q147" s="333">
        <f>SUM(F147:J147,L147)*'Tillegg- Inndata GoF'!K145</f>
        <v>0</v>
      </c>
      <c r="R147" s="333">
        <f>(K147+M147)*'Tillegg- Inndata GoF'!K145</f>
        <v>0</v>
      </c>
      <c r="S147" s="333">
        <f>SUM(N147:P147)*'Tillegg- Inndata GoF'!K145</f>
        <v>0</v>
      </c>
      <c r="T147" s="334">
        <f>('Tillegg- Inndata GoF'!G145+'Tillegg- Inndata GoF'!O145+'Tillegg- Inndata GoF'!S145)*'Tillegg- Inndata GoF'!K145*Transport_utslipp_til_avfallshånderting_per_kg</f>
        <v>0</v>
      </c>
      <c r="U147" s="330">
        <f>IF('Tillegg- Inndata GoF'!E145 = 0, 0, 1.833*'Tillegg- Inndata GoF'!X145*'Tillegg- Inndata GoF'!K145*('Tillegg- Inndata GoF'!G145*('Tillegg- Inndata GoF'!L145*0.5+'Tillegg- Inndata GoF'!M145*0.8) + (12/44)*('Tillegg- Inndata GoF'!O145*'Tillegg- Inndata GoF'!Q145+'Tillegg- Inndata GoF'!S145*'Tillegg- Inndata GoF'!U145)))</f>
        <v>0</v>
      </c>
      <c r="V147" s="335">
        <f>IF('Tillegg- Inndata GoF'!G145 = 0, 0,  MAX(-SUM(F147:J147,L147)*'Tillegg- Inndata GoF'!L145, -0.114*IF('Tillegg- Inndata GoF'!H145 &gt; 49, _xlfn.XLOOKUP(49, År_etter_ferdigstillelse, karbon_opptak_faktor), _xlfn.XLOOKUP('Tillegg- Inndata GoF'!H145, År_etter_ferdigstillelse, karbon_opptak_faktor))*'Tillegg- Inndata GoF'!G145*'Tillegg- Inndata GoF'!L145*0.5))</f>
        <v>0</v>
      </c>
      <c r="W147" s="333">
        <f>IF('Tillegg- Inndata GoF'!G145=0,0,IF('Tillegg- Inndata GoF'!H145&gt;49,-0.064*'Tillegg- Inndata GoF'!G145*'Tillegg- Inndata GoF'!N145,-0.037*'Tillegg- Inndata GoF'!J145*'Tillegg- Inndata GoF'!N145))</f>
        <v>0</v>
      </c>
      <c r="X147" s="331" cm="1">
        <f t="array" ref="X147">IF(SUM(F147:J147,L147)=0, 0, SUM(F147:J147,L147)*(1+'Tillegg-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Y147" s="330" cm="1">
        <f t="array" ref="Y147">IF(X147=0, 0, SUM(K147,M147)*(1+'Tillegg-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Z147" s="336" cm="1">
        <f t="array" ref="Z147">IF(X147=0, 0, SUM(N147:P147)*(1+'Tillegg-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AA147" s="336" cm="1">
        <f t="array" ref="AA147">IF(X147=0, 0, ('Tillegg- Inndata GoF'!G145+'Tillegg- Inndata GoF'!O145+'Tillegg- Inndata GoF'!S145)*(1+'Tillegg- Inndata GoF'!K145)*Transport_utslipp_til_avfallshånderting_per_kg*IF('Tillegg- Inndata GoF'!H145&gt;50, 0, _xlfn.XLOOKUP('Tillegg- Inndata GoF'!H145, År_etter_ferdigstillelse, IF(VALUE(LEFT('Tillegg- Inndata GoF'!B145, 2))= 49, f_tid_x_f_tek_d_0_037_kumulativ, f_tid_x_f_tek_d_0_01_kumulativ))))</f>
        <v>0</v>
      </c>
      <c r="AB147" s="334" cm="1">
        <f t="array" ref="AB147">IF(X147=0, 0,1.833*'Tillegg- Inndata GoF'!J145*('Tillegg- Inndata GoF'!X145*_xlfn.XLOOKUP(IF('Tillegg- Inndata GoF'!I145&lt;2,'Tillegg- Inndata GoF'!H145,'Tillegg- Inndata GoF'!H145*2), År_etter_ferdigstillelse, Faktorer!$Z$7:$Z$58))*('Tillegg- Inndata GoF'!L145*0.5+'Tillegg- Inndata GoF'!M145*0.8)*_xlfn.XLOOKUP(IF('Tillegg- Inndata GoF'!I145&lt;2,'Tillegg- Inndata GoF'!H145,'Tillegg- Inndata GoF'!H145*2), År_etter_ferdigstillelse,  IF(LEFT('Tillegg- Inndata GoF'!B145, 2)= 49, f_tid_x_f_tek_d_0_037, f_tid_x_f_tek_d_0_01)))</f>
        <v>0</v>
      </c>
      <c r="AC147" s="335">
        <f>IF(('Tillegg- Inndata GoF'!G145) = 0, 0,(('Tillegg- Inndata GoF'!G145)*((AG147+AI147)*Transport_utslipp_til_avfallshånderting_per_kg)+('Tillegg- Inndata GoF'!Z145*'ZERO-B Beregning'!D247)*IF('ZERO-B Beregning'!F248=0,'ZERO-B Beregning'!D248,'ZERO-B Beregning'!F248))*_xlfn.XLOOKUP(51, År_etter_ferdigstillelse, f_tid_x_f_tek_d_0_01))</f>
        <v>0</v>
      </c>
      <c r="AD147" s="337">
        <f>IF(('Tillegg- Inndata GoF'!G145) = 0, 0,1.833*('Tillegg- Inndata GoF'!G145*('Tillegg- Inndata GoF'!L145*0.5+'Tillegg- Inndata GoF'!M145*0.8)*AG147*_xlfn.XLOOKUP(51, År_etter_ferdigstillelse,  f_tid_x_f_tek_d_0_01)))</f>
        <v>0</v>
      </c>
      <c r="AE147" s="333" cm="1">
        <f t="array" ref="AE147">IF(('Tillegg- Inndata GoF'!G145) = 0, 0,-0.8*('Tillegg- Inndata GoF'!G145)*AH147*('Tillegg- Inndata GoF'!E145/'Tillegg- Inndata GoF'!G145)*_xlfn.XLOOKUP(51, År_etter_ferdigstillelse,  IF(LEFT('Tillegg- Inndata GoF'!B145, 2)= 49, f_tid_x_f_tek_d_0_037, f_tid_x_f_tek_d_0_01)))</f>
        <v>0</v>
      </c>
      <c r="AF147" s="338" cm="1">
        <f t="array" ref="AF147">IF(('Tillegg- Inndata GoF'!G145) = 0, 0,-0.1*('Tillegg- Inndata GoF'!G145)*AI147*('Tillegg- Inndata GoF'!E145/'Tillegg- Inndata GoF'!G145)*_xlfn.XLOOKUP(51, År_etter_ferdigstillelse,  IF(LEFT('Tillegg- Inndata GoF'!B145, 2)= 49, f_tid_x_f_tek_d_0_037, f_tid_x_f_tek_d_0_01)))</f>
        <v>0</v>
      </c>
      <c r="AG147" s="572">
        <f>IF(('Tillegg- Inndata GoF'!G145) = 0, 0,'Tillegg- Inndata GoF'!X145*Faktorer!$Z$58)</f>
        <v>0</v>
      </c>
      <c r="AH147" s="573">
        <f>IF(('Tillegg- Inndata GoF'!G145) = 0, 0,'Tillegg- Inndata GoF'!Z145+('Tillegg- Inndata GoF'!X145+'Tillegg- Inndata GoF'!Y145)*(1-Faktorer!$Z$58)*0.5)</f>
        <v>0</v>
      </c>
      <c r="AI147" s="574">
        <f>IF(('Tillegg- Inndata GoF'!G145) = 0, 0,'Tillegg- Inndata GoF'!AA145+('Tillegg- Inndata GoF'!X145+'Tillegg- Inndata GoF'!Y145)*(1-Faktorer!$Z$58)*0.5)</f>
        <v>0</v>
      </c>
      <c r="AK147" s="90">
        <f t="shared" si="3"/>
        <v>0</v>
      </c>
      <c r="AL147" s="91">
        <f>'Tillegg- Res. detaljert GoF'!N147</f>
        <v>0</v>
      </c>
      <c r="AM147" s="91" t="str">
        <f>IF(F147=0,"",('Tillegg- Inndata GoF'!E147+'Tillegg- Inndata GoF'!F147)*ROUNDDOWN('Tillegg- Inndata GoF'!I147,0)*(1+'Tillegg- Inndata GoF'!K147))</f>
        <v/>
      </c>
    </row>
    <row r="148" spans="2:39">
      <c r="B148" s="327">
        <f>'Tillegg- Inndata GoF'!B146</f>
        <v>0</v>
      </c>
      <c r="C148" s="328">
        <f>'Tillegg- Inndata GoF'!C146</f>
        <v>0</v>
      </c>
      <c r="D148" s="329">
        <f>'Tillegg- Inndata GoF'!D146</f>
        <v>0</v>
      </c>
      <c r="E148" s="661" cm="1">
        <f t="array" ref="E148">SUM(IFERROR(F148:AF148,0))</f>
        <v>0</v>
      </c>
      <c r="F148" s="330">
        <f>'Tillegg- Inndata GoF'!E146</f>
        <v>0</v>
      </c>
      <c r="G148" s="330">
        <f>IF('Tillegg- Inndata GoF'!AB146="Ja", -0.8*'Tillegg- Res. detaljert GoF'!$F148, 0)</f>
        <v>0</v>
      </c>
      <c r="H148" s="330">
        <f>IF('Tillegg- Inndata GoF'!AC146="Ja", -0.4*'Tillegg- Res. detaljert GoF'!$F148, 0)</f>
        <v>0</v>
      </c>
      <c r="I148" s="330">
        <f>IF('Tillegg- Inndata GoF'!AD146="Ja", -1*'Tillegg- Res. detaljert GoF'!$F148, 0)</f>
        <v>0</v>
      </c>
      <c r="J148" s="330">
        <f>'Tillegg- Inndata GoF'!O146*'Tillegg- Inndata GoF'!P146</f>
        <v>0</v>
      </c>
      <c r="K148" s="330">
        <f>MAX(-0.75*(SUM('Tillegg- Res. detaljert GoF'!F148:J148)),-'Tillegg- Inndata GoF'!O146*'Tillegg- Inndata GoF'!Q146)</f>
        <v>0</v>
      </c>
      <c r="L148" s="330">
        <f>'Tillegg- Inndata GoF'!S146*'Tillegg- Inndata GoF'!T146</f>
        <v>0</v>
      </c>
      <c r="M148" s="330">
        <f>MAX(-0.75*(SUM('Tillegg- Res. detaljert GoF'!F148:I148,L148)),-'Tillegg- Inndata GoF'!S146*'Tillegg- Inndata GoF'!U146)</f>
        <v>0</v>
      </c>
      <c r="N148" s="331">
        <f>'Tillegg- Inndata GoF'!F146</f>
        <v>0</v>
      </c>
      <c r="O148" s="330">
        <f>'Tillegg- Inndata GoF'!O146*'Tillegg- Inndata GoF'!R146</f>
        <v>0</v>
      </c>
      <c r="P148" s="332">
        <f>'Tillegg- Inndata GoF'!S146*'Tillegg- Inndata GoF'!V146</f>
        <v>0</v>
      </c>
      <c r="Q148" s="333">
        <f>SUM(F148:J148,L148)*'Tillegg- Inndata GoF'!K146</f>
        <v>0</v>
      </c>
      <c r="R148" s="333">
        <f>(K148+M148)*'Tillegg- Inndata GoF'!K146</f>
        <v>0</v>
      </c>
      <c r="S148" s="333">
        <f>SUM(N148:P148)*'Tillegg- Inndata GoF'!K146</f>
        <v>0</v>
      </c>
      <c r="T148" s="334">
        <f>('Tillegg- Inndata GoF'!G146+'Tillegg- Inndata GoF'!O146+'Tillegg- Inndata GoF'!S146)*'Tillegg- Inndata GoF'!K146*Transport_utslipp_til_avfallshånderting_per_kg</f>
        <v>0</v>
      </c>
      <c r="U148" s="330">
        <f>IF('Tillegg- Inndata GoF'!E146 = 0, 0, 1.833*'Tillegg- Inndata GoF'!X146*'Tillegg- Inndata GoF'!K146*('Tillegg- Inndata GoF'!G146*('Tillegg- Inndata GoF'!L146*0.5+'Tillegg- Inndata GoF'!M146*0.8) + (12/44)*('Tillegg- Inndata GoF'!O146*'Tillegg- Inndata GoF'!Q146+'Tillegg- Inndata GoF'!S146*'Tillegg- Inndata GoF'!U146)))</f>
        <v>0</v>
      </c>
      <c r="V148" s="335">
        <f>IF('Tillegg- Inndata GoF'!G146 = 0, 0,  MAX(-SUM(F148:J148,L148)*'Tillegg- Inndata GoF'!L146, -0.114*IF('Tillegg- Inndata GoF'!H146 &gt; 49, _xlfn.XLOOKUP(49, År_etter_ferdigstillelse, karbon_opptak_faktor), _xlfn.XLOOKUP('Tillegg- Inndata GoF'!H146, År_etter_ferdigstillelse, karbon_opptak_faktor))*'Tillegg- Inndata GoF'!G146*'Tillegg- Inndata GoF'!L146*0.5))</f>
        <v>0</v>
      </c>
      <c r="W148" s="333">
        <f>IF('Tillegg- Inndata GoF'!G146=0,0,IF('Tillegg- Inndata GoF'!H146&gt;49,-0.064*'Tillegg- Inndata GoF'!G146*'Tillegg- Inndata GoF'!N146,-0.037*'Tillegg- Inndata GoF'!J146*'Tillegg- Inndata GoF'!N146))</f>
        <v>0</v>
      </c>
      <c r="X148" s="331" cm="1">
        <f t="array" ref="X148">IF(SUM(F148:J148,L148)=0, 0, SUM(F148:J148,L148)*(1+'Tillegg-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Y148" s="330" cm="1">
        <f t="array" ref="Y148">IF(X148=0, 0, SUM(K148,M148)*(1+'Tillegg-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Z148" s="336" cm="1">
        <f t="array" ref="Z148">IF(X148=0, 0, SUM(N148:P148)*(1+'Tillegg-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AA148" s="336" cm="1">
        <f t="array" ref="AA148">IF(X148=0, 0, ('Tillegg- Inndata GoF'!G146+'Tillegg- Inndata GoF'!O146+'Tillegg- Inndata GoF'!S146)*(1+'Tillegg- Inndata GoF'!K146)*Transport_utslipp_til_avfallshånderting_per_kg*IF('Tillegg- Inndata GoF'!H146&gt;50, 0, _xlfn.XLOOKUP('Tillegg- Inndata GoF'!H146, År_etter_ferdigstillelse, IF(VALUE(LEFT('Tillegg- Inndata GoF'!B146, 2))= 49, f_tid_x_f_tek_d_0_037_kumulativ, f_tid_x_f_tek_d_0_01_kumulativ))))</f>
        <v>0</v>
      </c>
      <c r="AB148" s="334" cm="1">
        <f t="array" ref="AB148">IF(X148=0, 0,1.833*'Tillegg- Inndata GoF'!J146*('Tillegg- Inndata GoF'!X146*_xlfn.XLOOKUP(IF('Tillegg- Inndata GoF'!I146&lt;2,'Tillegg- Inndata GoF'!H146,'Tillegg- Inndata GoF'!H146*2), År_etter_ferdigstillelse, Faktorer!$Z$7:$Z$58))*('Tillegg- Inndata GoF'!L146*0.5+'Tillegg- Inndata GoF'!M146*0.8)*_xlfn.XLOOKUP(IF('Tillegg- Inndata GoF'!I146&lt;2,'Tillegg- Inndata GoF'!H146,'Tillegg- Inndata GoF'!H146*2), År_etter_ferdigstillelse,  IF(LEFT('Tillegg- Inndata GoF'!B146, 2)= 49, f_tid_x_f_tek_d_0_037, f_tid_x_f_tek_d_0_01)))</f>
        <v>0</v>
      </c>
      <c r="AC148" s="335">
        <f>IF(('Tillegg- Inndata GoF'!G146) = 0, 0,(('Tillegg- Inndata GoF'!G146)*((AG148+AI148)*Transport_utslipp_til_avfallshånderting_per_kg)+('Tillegg- Inndata GoF'!Z146*'ZERO-B Beregning'!D248)*IF('ZERO-B Beregning'!F249=0,'ZERO-B Beregning'!D249,'ZERO-B Beregning'!F249))*_xlfn.XLOOKUP(51, År_etter_ferdigstillelse, f_tid_x_f_tek_d_0_01))</f>
        <v>0</v>
      </c>
      <c r="AD148" s="337">
        <f>IF(('Tillegg- Inndata GoF'!G146) = 0, 0,1.833*('Tillegg- Inndata GoF'!G146*('Tillegg- Inndata GoF'!L146*0.5+'Tillegg- Inndata GoF'!M146*0.8)*AG148*_xlfn.XLOOKUP(51, År_etter_ferdigstillelse,  f_tid_x_f_tek_d_0_01)))</f>
        <v>0</v>
      </c>
      <c r="AE148" s="333" cm="1">
        <f t="array" ref="AE148">IF(('Tillegg- Inndata GoF'!G146) = 0, 0,-0.8*('Tillegg- Inndata GoF'!G146)*AH148*('Tillegg- Inndata GoF'!E146/'Tillegg- Inndata GoF'!G146)*_xlfn.XLOOKUP(51, År_etter_ferdigstillelse,  IF(LEFT('Tillegg- Inndata GoF'!B146, 2)= 49, f_tid_x_f_tek_d_0_037, f_tid_x_f_tek_d_0_01)))</f>
        <v>0</v>
      </c>
      <c r="AF148" s="338" cm="1">
        <f t="array" ref="AF148">IF(('Tillegg- Inndata GoF'!G146) = 0, 0,-0.1*('Tillegg- Inndata GoF'!G146)*AI148*('Tillegg- Inndata GoF'!E146/'Tillegg- Inndata GoF'!G146)*_xlfn.XLOOKUP(51, År_etter_ferdigstillelse,  IF(LEFT('Tillegg- Inndata GoF'!B146, 2)= 49, f_tid_x_f_tek_d_0_037, f_tid_x_f_tek_d_0_01)))</f>
        <v>0</v>
      </c>
      <c r="AG148" s="572">
        <f>IF(('Tillegg- Inndata GoF'!G146) = 0, 0,'Tillegg- Inndata GoF'!X146*Faktorer!$Z$58)</f>
        <v>0</v>
      </c>
      <c r="AH148" s="573">
        <f>IF(('Tillegg- Inndata GoF'!G146) = 0, 0,'Tillegg- Inndata GoF'!Z146+('Tillegg- Inndata GoF'!X146+'Tillegg- Inndata GoF'!Y146)*(1-Faktorer!$Z$58)*0.5)</f>
        <v>0</v>
      </c>
      <c r="AI148" s="574">
        <f>IF(('Tillegg- Inndata GoF'!G146) = 0, 0,'Tillegg- Inndata GoF'!AA146+('Tillegg- Inndata GoF'!X146+'Tillegg- Inndata GoF'!Y146)*(1-Faktorer!$Z$58)*0.5)</f>
        <v>0</v>
      </c>
      <c r="AK148" s="90">
        <f t="shared" si="3"/>
        <v>0</v>
      </c>
      <c r="AL148" s="91">
        <f>'Tillegg- Res. detaljert GoF'!N148</f>
        <v>0</v>
      </c>
      <c r="AM148" s="91" t="str">
        <f>IF(F148=0,"",('Tillegg- Inndata GoF'!E148+'Tillegg- Inndata GoF'!F148)*ROUNDDOWN('Tillegg- Inndata GoF'!I148,0)*(1+'Tillegg- Inndata GoF'!K148))</f>
        <v/>
      </c>
    </row>
    <row r="149" spans="2:39">
      <c r="B149" s="327">
        <f>'Tillegg- Inndata GoF'!B147</f>
        <v>0</v>
      </c>
      <c r="C149" s="328">
        <f>'Tillegg- Inndata GoF'!C147</f>
        <v>0</v>
      </c>
      <c r="D149" s="329">
        <f>'Tillegg- Inndata GoF'!D147</f>
        <v>0</v>
      </c>
      <c r="E149" s="661" cm="1">
        <f t="array" ref="E149">SUM(IFERROR(F149:AF149,0))</f>
        <v>0</v>
      </c>
      <c r="F149" s="330">
        <f>'Tillegg- Inndata GoF'!E147</f>
        <v>0</v>
      </c>
      <c r="G149" s="330">
        <f>IF('Tillegg- Inndata GoF'!AB147="Ja", -0.8*'Tillegg- Res. detaljert GoF'!$F149, 0)</f>
        <v>0</v>
      </c>
      <c r="H149" s="330">
        <f>IF('Tillegg- Inndata GoF'!AC147="Ja", -0.4*'Tillegg- Res. detaljert GoF'!$F149, 0)</f>
        <v>0</v>
      </c>
      <c r="I149" s="330">
        <f>IF('Tillegg- Inndata GoF'!AD147="Ja", -1*'Tillegg- Res. detaljert GoF'!$F149, 0)</f>
        <v>0</v>
      </c>
      <c r="J149" s="330">
        <f>'Tillegg- Inndata GoF'!O147*'Tillegg- Inndata GoF'!P147</f>
        <v>0</v>
      </c>
      <c r="K149" s="330">
        <f>MAX(-0.75*(SUM('Tillegg- Res. detaljert GoF'!F149:J149)),-'Tillegg- Inndata GoF'!O147*'Tillegg- Inndata GoF'!Q147)</f>
        <v>0</v>
      </c>
      <c r="L149" s="330">
        <f>'Tillegg- Inndata GoF'!S147*'Tillegg- Inndata GoF'!T147</f>
        <v>0</v>
      </c>
      <c r="M149" s="330">
        <f>MAX(-0.75*(SUM('Tillegg- Res. detaljert GoF'!F149:I149,L149)),-'Tillegg- Inndata GoF'!S147*'Tillegg- Inndata GoF'!U147)</f>
        <v>0</v>
      </c>
      <c r="N149" s="331">
        <f>'Tillegg- Inndata GoF'!F147</f>
        <v>0</v>
      </c>
      <c r="O149" s="330">
        <f>'Tillegg- Inndata GoF'!O147*'Tillegg- Inndata GoF'!R147</f>
        <v>0</v>
      </c>
      <c r="P149" s="332">
        <f>'Tillegg- Inndata GoF'!S147*'Tillegg- Inndata GoF'!V147</f>
        <v>0</v>
      </c>
      <c r="Q149" s="333">
        <f>SUM(F149:J149,L149)*'Tillegg- Inndata GoF'!K147</f>
        <v>0</v>
      </c>
      <c r="R149" s="333">
        <f>(K149+M149)*'Tillegg- Inndata GoF'!K147</f>
        <v>0</v>
      </c>
      <c r="S149" s="333">
        <f>SUM(N149:P149)*'Tillegg- Inndata GoF'!K147</f>
        <v>0</v>
      </c>
      <c r="T149" s="334">
        <f>('Tillegg- Inndata GoF'!G147+'Tillegg- Inndata GoF'!O147+'Tillegg- Inndata GoF'!S147)*'Tillegg- Inndata GoF'!K147*Transport_utslipp_til_avfallshånderting_per_kg</f>
        <v>0</v>
      </c>
      <c r="U149" s="330">
        <f>IF('Tillegg- Inndata GoF'!E147 = 0, 0, 1.833*'Tillegg- Inndata GoF'!X147*'Tillegg- Inndata GoF'!K147*('Tillegg- Inndata GoF'!G147*('Tillegg- Inndata GoF'!L147*0.5+'Tillegg- Inndata GoF'!M147*0.8) + (12/44)*('Tillegg- Inndata GoF'!O147*'Tillegg- Inndata GoF'!Q147+'Tillegg- Inndata GoF'!S147*'Tillegg- Inndata GoF'!U147)))</f>
        <v>0</v>
      </c>
      <c r="V149" s="335">
        <f>IF('Tillegg- Inndata GoF'!G147 = 0, 0,  MAX(-SUM(F149:J149,L149)*'Tillegg- Inndata GoF'!L147, -0.114*IF('Tillegg- Inndata GoF'!H147 &gt; 49, _xlfn.XLOOKUP(49, År_etter_ferdigstillelse, karbon_opptak_faktor), _xlfn.XLOOKUP('Tillegg- Inndata GoF'!H147, År_etter_ferdigstillelse, karbon_opptak_faktor))*'Tillegg- Inndata GoF'!G147*'Tillegg- Inndata GoF'!L147*0.5))</f>
        <v>0</v>
      </c>
      <c r="W149" s="333">
        <f>IF('Tillegg- Inndata GoF'!G147=0,0,IF('Tillegg- Inndata GoF'!H147&gt;49,-0.064*'Tillegg- Inndata GoF'!G147*'Tillegg- Inndata GoF'!N147,-0.037*'Tillegg- Inndata GoF'!J147*'Tillegg- Inndata GoF'!N147))</f>
        <v>0</v>
      </c>
      <c r="X149" s="331" cm="1">
        <f t="array" ref="X149">IF(SUM(F149:J149,L149)=0, 0, SUM(F149:J149,L149)*(1+'Tillegg-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Y149" s="330" cm="1">
        <f t="array" ref="Y149">IF(X149=0, 0, SUM(K149,M149)*(1+'Tillegg-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Z149" s="336" cm="1">
        <f t="array" ref="Z149">IF(X149=0, 0, SUM(N149:P149)*(1+'Tillegg-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AA149" s="336" cm="1">
        <f t="array" ref="AA149">IF(X149=0, 0, ('Tillegg- Inndata GoF'!G147+'Tillegg- Inndata GoF'!O147+'Tillegg- Inndata GoF'!S147)*(1+'Tillegg- Inndata GoF'!K147)*Transport_utslipp_til_avfallshånderting_per_kg*IF('Tillegg- Inndata GoF'!H147&gt;50, 0, _xlfn.XLOOKUP('Tillegg- Inndata GoF'!H147, År_etter_ferdigstillelse, IF(VALUE(LEFT('Tillegg- Inndata GoF'!B147, 2))= 49, f_tid_x_f_tek_d_0_037_kumulativ, f_tid_x_f_tek_d_0_01_kumulativ))))</f>
        <v>0</v>
      </c>
      <c r="AB149" s="334" cm="1">
        <f t="array" ref="AB149">IF(X149=0, 0,1.833*'Tillegg- Inndata GoF'!J147*('Tillegg- Inndata GoF'!X147*_xlfn.XLOOKUP(IF('Tillegg- Inndata GoF'!I147&lt;2,'Tillegg- Inndata GoF'!H147,'Tillegg- Inndata GoF'!H147*2), År_etter_ferdigstillelse, Faktorer!$Z$7:$Z$58))*('Tillegg- Inndata GoF'!L147*0.5+'Tillegg- Inndata GoF'!M147*0.8)*_xlfn.XLOOKUP(IF('Tillegg- Inndata GoF'!I147&lt;2,'Tillegg- Inndata GoF'!H147,'Tillegg- Inndata GoF'!H147*2), År_etter_ferdigstillelse,  IF(LEFT('Tillegg- Inndata GoF'!B147, 2)= 49, f_tid_x_f_tek_d_0_037, f_tid_x_f_tek_d_0_01)))</f>
        <v>0</v>
      </c>
      <c r="AC149" s="335">
        <f>IF(('Tillegg- Inndata GoF'!G147) = 0, 0,(('Tillegg- Inndata GoF'!G147)*((AG149+AI149)*Transport_utslipp_til_avfallshånderting_per_kg)+('Tillegg- Inndata GoF'!Z147*'ZERO-B Beregning'!D249)*IF('ZERO-B Beregning'!F250=0,'ZERO-B Beregning'!D250,'ZERO-B Beregning'!F250))*_xlfn.XLOOKUP(51, År_etter_ferdigstillelse, f_tid_x_f_tek_d_0_01))</f>
        <v>0</v>
      </c>
      <c r="AD149" s="337">
        <f>IF(('Tillegg- Inndata GoF'!G147) = 0, 0,1.833*('Tillegg- Inndata GoF'!G147*('Tillegg- Inndata GoF'!L147*0.5+'Tillegg- Inndata GoF'!M147*0.8)*AG149*_xlfn.XLOOKUP(51, År_etter_ferdigstillelse,  f_tid_x_f_tek_d_0_01)))</f>
        <v>0</v>
      </c>
      <c r="AE149" s="333" cm="1">
        <f t="array" ref="AE149">IF(('Tillegg- Inndata GoF'!G147) = 0, 0,-0.8*('Tillegg- Inndata GoF'!G147)*AH149*('Tillegg- Inndata GoF'!E147/'Tillegg- Inndata GoF'!G147)*_xlfn.XLOOKUP(51, År_etter_ferdigstillelse,  IF(LEFT('Tillegg- Inndata GoF'!B147, 2)= 49, f_tid_x_f_tek_d_0_037, f_tid_x_f_tek_d_0_01)))</f>
        <v>0</v>
      </c>
      <c r="AF149" s="338" cm="1">
        <f t="array" ref="AF149">IF(('Tillegg- Inndata GoF'!G147) = 0, 0,-0.1*('Tillegg- Inndata GoF'!G147)*AI149*('Tillegg- Inndata GoF'!E147/'Tillegg- Inndata GoF'!G147)*_xlfn.XLOOKUP(51, År_etter_ferdigstillelse,  IF(LEFT('Tillegg- Inndata GoF'!B147, 2)= 49, f_tid_x_f_tek_d_0_037, f_tid_x_f_tek_d_0_01)))</f>
        <v>0</v>
      </c>
      <c r="AG149" s="572">
        <f>IF(('Tillegg- Inndata GoF'!G147) = 0, 0,'Tillegg- Inndata GoF'!X147*Faktorer!$Z$58)</f>
        <v>0</v>
      </c>
      <c r="AH149" s="573">
        <f>IF(('Tillegg- Inndata GoF'!G147) = 0, 0,'Tillegg- Inndata GoF'!Z147+('Tillegg- Inndata GoF'!X147+'Tillegg- Inndata GoF'!Y147)*(1-Faktorer!$Z$58)*0.5)</f>
        <v>0</v>
      </c>
      <c r="AI149" s="574">
        <f>IF(('Tillegg- Inndata GoF'!G147) = 0, 0,'Tillegg- Inndata GoF'!AA147+('Tillegg- Inndata GoF'!X147+'Tillegg- Inndata GoF'!Y147)*(1-Faktorer!$Z$58)*0.5)</f>
        <v>0</v>
      </c>
      <c r="AK149" s="90">
        <f t="shared" si="3"/>
        <v>0</v>
      </c>
      <c r="AL149" s="91">
        <f>'Tillegg- Res. detaljert GoF'!N149</f>
        <v>0</v>
      </c>
      <c r="AM149" s="91" t="str">
        <f>IF(F149=0,"",('Tillegg- Inndata GoF'!E149+'Tillegg- Inndata GoF'!F149)*ROUNDDOWN('Tillegg- Inndata GoF'!I149,0)*(1+'Tillegg- Inndata GoF'!K149))</f>
        <v/>
      </c>
    </row>
    <row r="150" spans="2:39">
      <c r="B150" s="327">
        <f>'Tillegg- Inndata GoF'!B148</f>
        <v>0</v>
      </c>
      <c r="C150" s="328">
        <f>'Tillegg- Inndata GoF'!C148</f>
        <v>0</v>
      </c>
      <c r="D150" s="329">
        <f>'Tillegg- Inndata GoF'!D148</f>
        <v>0</v>
      </c>
      <c r="E150" s="661" cm="1">
        <f t="array" ref="E150">SUM(IFERROR(F150:AF150,0))</f>
        <v>0</v>
      </c>
      <c r="F150" s="330">
        <f>'Tillegg- Inndata GoF'!E148</f>
        <v>0</v>
      </c>
      <c r="G150" s="330">
        <f>IF('Tillegg- Inndata GoF'!AB148="Ja", -0.8*'Tillegg- Res. detaljert GoF'!$F150, 0)</f>
        <v>0</v>
      </c>
      <c r="H150" s="330">
        <f>IF('Tillegg- Inndata GoF'!AC148="Ja", -0.4*'Tillegg- Res. detaljert GoF'!$F150, 0)</f>
        <v>0</v>
      </c>
      <c r="I150" s="330">
        <f>IF('Tillegg- Inndata GoF'!AD148="Ja", -1*'Tillegg- Res. detaljert GoF'!$F150, 0)</f>
        <v>0</v>
      </c>
      <c r="J150" s="330">
        <f>'Tillegg- Inndata GoF'!O148*'Tillegg- Inndata GoF'!P148</f>
        <v>0</v>
      </c>
      <c r="K150" s="330">
        <f>MAX(-0.75*(SUM('Tillegg- Res. detaljert GoF'!F150:J150)),-'Tillegg- Inndata GoF'!O148*'Tillegg- Inndata GoF'!Q148)</f>
        <v>0</v>
      </c>
      <c r="L150" s="330">
        <f>'Tillegg- Inndata GoF'!S148*'Tillegg- Inndata GoF'!T148</f>
        <v>0</v>
      </c>
      <c r="M150" s="330">
        <f>MAX(-0.75*(SUM('Tillegg- Res. detaljert GoF'!F150:I150,L150)),-'Tillegg- Inndata GoF'!S148*'Tillegg- Inndata GoF'!U148)</f>
        <v>0</v>
      </c>
      <c r="N150" s="331">
        <f>'Tillegg- Inndata GoF'!F148</f>
        <v>0</v>
      </c>
      <c r="O150" s="330">
        <f>'Tillegg- Inndata GoF'!O148*'Tillegg- Inndata GoF'!R148</f>
        <v>0</v>
      </c>
      <c r="P150" s="332">
        <f>'Tillegg- Inndata GoF'!S148*'Tillegg- Inndata GoF'!V148</f>
        <v>0</v>
      </c>
      <c r="Q150" s="333">
        <f>SUM(F150:J150,L150)*'Tillegg- Inndata GoF'!K148</f>
        <v>0</v>
      </c>
      <c r="R150" s="333">
        <f>(K150+M150)*'Tillegg- Inndata GoF'!K148</f>
        <v>0</v>
      </c>
      <c r="S150" s="333">
        <f>SUM(N150:P150)*'Tillegg- Inndata GoF'!K148</f>
        <v>0</v>
      </c>
      <c r="T150" s="334">
        <f>('Tillegg- Inndata GoF'!G148+'Tillegg- Inndata GoF'!O148+'Tillegg- Inndata GoF'!S148)*'Tillegg- Inndata GoF'!K148*Transport_utslipp_til_avfallshånderting_per_kg</f>
        <v>0</v>
      </c>
      <c r="U150" s="330">
        <f>IF('Tillegg- Inndata GoF'!E148 = 0, 0, 1.833*'Tillegg- Inndata GoF'!X148*'Tillegg- Inndata GoF'!K148*('Tillegg- Inndata GoF'!G148*('Tillegg- Inndata GoF'!L148*0.5+'Tillegg- Inndata GoF'!M148*0.8) + (12/44)*('Tillegg- Inndata GoF'!O148*'Tillegg- Inndata GoF'!Q148+'Tillegg- Inndata GoF'!S148*'Tillegg- Inndata GoF'!U148)))</f>
        <v>0</v>
      </c>
      <c r="V150" s="335">
        <f>IF('Tillegg- Inndata GoF'!G148 = 0, 0,  MAX(-SUM(F150:J150,L150)*'Tillegg- Inndata GoF'!L148, -0.114*IF('Tillegg- Inndata GoF'!H148 &gt; 49, _xlfn.XLOOKUP(49, År_etter_ferdigstillelse, karbon_opptak_faktor), _xlfn.XLOOKUP('Tillegg- Inndata GoF'!H148, År_etter_ferdigstillelse, karbon_opptak_faktor))*'Tillegg- Inndata GoF'!G148*'Tillegg- Inndata GoF'!L148*0.5))</f>
        <v>0</v>
      </c>
      <c r="W150" s="333">
        <f>IF('Tillegg- Inndata GoF'!G148=0,0,IF('Tillegg- Inndata GoF'!H148&gt;49,-0.064*'Tillegg- Inndata GoF'!G148*'Tillegg- Inndata GoF'!N148,-0.037*'Tillegg- Inndata GoF'!J148*'Tillegg- Inndata GoF'!N148))</f>
        <v>0</v>
      </c>
      <c r="X150" s="331" cm="1">
        <f t="array" ref="X150">IF(SUM(F150:J150,L150)=0, 0, SUM(F150:J150,L150)*(1+'Tillegg-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Y150" s="330" cm="1">
        <f t="array" ref="Y150">IF(X150=0, 0, SUM(K150,M150)*(1+'Tillegg-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Z150" s="336" cm="1">
        <f t="array" ref="Z150">IF(X150=0, 0, SUM(N150:P150)*(1+'Tillegg-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AA150" s="336" cm="1">
        <f t="array" ref="AA150">IF(X150=0, 0, ('Tillegg- Inndata GoF'!G148+'Tillegg- Inndata GoF'!O148+'Tillegg- Inndata GoF'!S148)*(1+'Tillegg- Inndata GoF'!K148)*Transport_utslipp_til_avfallshånderting_per_kg*IF('Tillegg- Inndata GoF'!H148&gt;50, 0, _xlfn.XLOOKUP('Tillegg- Inndata GoF'!H148, År_etter_ferdigstillelse, IF(VALUE(LEFT('Tillegg- Inndata GoF'!B148, 2))= 49, f_tid_x_f_tek_d_0_037_kumulativ, f_tid_x_f_tek_d_0_01_kumulativ))))</f>
        <v>0</v>
      </c>
      <c r="AB150" s="334" cm="1">
        <f t="array" ref="AB150">IF(X150=0, 0,1.833*'Tillegg- Inndata GoF'!J148*('Tillegg- Inndata GoF'!X148*_xlfn.XLOOKUP(IF('Tillegg- Inndata GoF'!I148&lt;2,'Tillegg- Inndata GoF'!H148,'Tillegg- Inndata GoF'!H148*2), År_etter_ferdigstillelse, Faktorer!$Z$7:$Z$58))*('Tillegg- Inndata GoF'!L148*0.5+'Tillegg- Inndata GoF'!M148*0.8)*_xlfn.XLOOKUP(IF('Tillegg- Inndata GoF'!I148&lt;2,'Tillegg- Inndata GoF'!H148,'Tillegg- Inndata GoF'!H148*2), År_etter_ferdigstillelse,  IF(LEFT('Tillegg- Inndata GoF'!B148, 2)= 49, f_tid_x_f_tek_d_0_037, f_tid_x_f_tek_d_0_01)))</f>
        <v>0</v>
      </c>
      <c r="AC150" s="335">
        <f>IF(('Tillegg- Inndata GoF'!G148) = 0, 0,(('Tillegg- Inndata GoF'!G148)*((AG150+AI150)*Transport_utslipp_til_avfallshånderting_per_kg)+('Tillegg- Inndata GoF'!Z148*'ZERO-B Beregning'!D250)*IF('ZERO-B Beregning'!F251=0,'ZERO-B Beregning'!D251,'ZERO-B Beregning'!F251))*_xlfn.XLOOKUP(51, År_etter_ferdigstillelse, f_tid_x_f_tek_d_0_01))</f>
        <v>0</v>
      </c>
      <c r="AD150" s="337">
        <f>IF(('Tillegg- Inndata GoF'!G148) = 0, 0,1.833*('Tillegg- Inndata GoF'!G148*('Tillegg- Inndata GoF'!L148*0.5+'Tillegg- Inndata GoF'!M148*0.8)*AG150*_xlfn.XLOOKUP(51, År_etter_ferdigstillelse,  f_tid_x_f_tek_d_0_01)))</f>
        <v>0</v>
      </c>
      <c r="AE150" s="333" cm="1">
        <f t="array" ref="AE150">IF(('Tillegg- Inndata GoF'!G148) = 0, 0,-0.8*('Tillegg- Inndata GoF'!G148)*AH150*('Tillegg- Inndata GoF'!E148/'Tillegg- Inndata GoF'!G148)*_xlfn.XLOOKUP(51, År_etter_ferdigstillelse,  IF(LEFT('Tillegg- Inndata GoF'!B148, 2)= 49, f_tid_x_f_tek_d_0_037, f_tid_x_f_tek_d_0_01)))</f>
        <v>0</v>
      </c>
      <c r="AF150" s="338" cm="1">
        <f t="array" ref="AF150">IF(('Tillegg- Inndata GoF'!G148) = 0, 0,-0.1*('Tillegg- Inndata GoF'!G148)*AI150*('Tillegg- Inndata GoF'!E148/'Tillegg- Inndata GoF'!G148)*_xlfn.XLOOKUP(51, År_etter_ferdigstillelse,  IF(LEFT('Tillegg- Inndata GoF'!B148, 2)= 49, f_tid_x_f_tek_d_0_037, f_tid_x_f_tek_d_0_01)))</f>
        <v>0</v>
      </c>
      <c r="AG150" s="572">
        <f>IF(('Tillegg- Inndata GoF'!G148) = 0, 0,'Tillegg- Inndata GoF'!X148*Faktorer!$Z$58)</f>
        <v>0</v>
      </c>
      <c r="AH150" s="573">
        <f>IF(('Tillegg- Inndata GoF'!G148) = 0, 0,'Tillegg- Inndata GoF'!Z148+('Tillegg- Inndata GoF'!X148+'Tillegg- Inndata GoF'!Y148)*(1-Faktorer!$Z$58)*0.5)</f>
        <v>0</v>
      </c>
      <c r="AI150" s="574">
        <f>IF(('Tillegg- Inndata GoF'!G148) = 0, 0,'Tillegg- Inndata GoF'!AA148+('Tillegg- Inndata GoF'!X148+'Tillegg- Inndata GoF'!Y148)*(1-Faktorer!$Z$58)*0.5)</f>
        <v>0</v>
      </c>
      <c r="AK150" s="90">
        <f t="shared" si="3"/>
        <v>0</v>
      </c>
      <c r="AL150" s="91">
        <f>'Tillegg- Res. detaljert GoF'!N150</f>
        <v>0</v>
      </c>
      <c r="AM150" s="91" t="str">
        <f>IF(F150=0,"",('Tillegg- Inndata GoF'!E150+'Tillegg- Inndata GoF'!F150)*ROUNDDOWN('Tillegg- Inndata GoF'!I150,0)*(1+'Tillegg- Inndata GoF'!K150))</f>
        <v/>
      </c>
    </row>
    <row r="151" spans="2:39">
      <c r="B151" s="327">
        <f>'Tillegg- Inndata GoF'!B149</f>
        <v>0</v>
      </c>
      <c r="C151" s="328">
        <f>'Tillegg- Inndata GoF'!C149</f>
        <v>0</v>
      </c>
      <c r="D151" s="329">
        <f>'Tillegg- Inndata GoF'!D149</f>
        <v>0</v>
      </c>
      <c r="E151" s="661" cm="1">
        <f t="array" ref="E151">SUM(IFERROR(F151:AF151,0))</f>
        <v>0</v>
      </c>
      <c r="F151" s="330">
        <f>'Tillegg- Inndata GoF'!E149</f>
        <v>0</v>
      </c>
      <c r="G151" s="330">
        <f>IF('Tillegg- Inndata GoF'!AB149="Ja", -0.8*'Tillegg- Res. detaljert GoF'!$F151, 0)</f>
        <v>0</v>
      </c>
      <c r="H151" s="330">
        <f>IF('Tillegg- Inndata GoF'!AC149="Ja", -0.4*'Tillegg- Res. detaljert GoF'!$F151, 0)</f>
        <v>0</v>
      </c>
      <c r="I151" s="330">
        <f>IF('Tillegg- Inndata GoF'!AD149="Ja", -1*'Tillegg- Res. detaljert GoF'!$F151, 0)</f>
        <v>0</v>
      </c>
      <c r="J151" s="330">
        <f>'Tillegg- Inndata GoF'!O149*'Tillegg- Inndata GoF'!P149</f>
        <v>0</v>
      </c>
      <c r="K151" s="330">
        <f>MAX(-0.75*(SUM('Tillegg- Res. detaljert GoF'!F151:J151)),-'Tillegg- Inndata GoF'!O149*'Tillegg- Inndata GoF'!Q149)</f>
        <v>0</v>
      </c>
      <c r="L151" s="330">
        <f>'Tillegg- Inndata GoF'!S149*'Tillegg- Inndata GoF'!T149</f>
        <v>0</v>
      </c>
      <c r="M151" s="330">
        <f>MAX(-0.75*(SUM('Tillegg- Res. detaljert GoF'!F151:I151,L151)),-'Tillegg- Inndata GoF'!S149*'Tillegg- Inndata GoF'!U149)</f>
        <v>0</v>
      </c>
      <c r="N151" s="331">
        <f>'Tillegg- Inndata GoF'!F149</f>
        <v>0</v>
      </c>
      <c r="O151" s="330">
        <f>'Tillegg- Inndata GoF'!O149*'Tillegg- Inndata GoF'!R149</f>
        <v>0</v>
      </c>
      <c r="P151" s="332">
        <f>'Tillegg- Inndata GoF'!S149*'Tillegg- Inndata GoF'!V149</f>
        <v>0</v>
      </c>
      <c r="Q151" s="333">
        <f>SUM(F151:J151,L151)*'Tillegg- Inndata GoF'!K149</f>
        <v>0</v>
      </c>
      <c r="R151" s="333">
        <f>(K151+M151)*'Tillegg- Inndata GoF'!K149</f>
        <v>0</v>
      </c>
      <c r="S151" s="333">
        <f>SUM(N151:P151)*'Tillegg- Inndata GoF'!K149</f>
        <v>0</v>
      </c>
      <c r="T151" s="334">
        <f>('Tillegg- Inndata GoF'!G149+'Tillegg- Inndata GoF'!O149+'Tillegg- Inndata GoF'!S149)*'Tillegg- Inndata GoF'!K149*Transport_utslipp_til_avfallshånderting_per_kg</f>
        <v>0</v>
      </c>
      <c r="U151" s="330">
        <f>IF('Tillegg- Inndata GoF'!E149 = 0, 0, 1.833*'Tillegg- Inndata GoF'!X149*'Tillegg- Inndata GoF'!K149*('Tillegg- Inndata GoF'!G149*('Tillegg- Inndata GoF'!L149*0.5+'Tillegg- Inndata GoF'!M149*0.8) + (12/44)*('Tillegg- Inndata GoF'!O149*'Tillegg- Inndata GoF'!Q149+'Tillegg- Inndata GoF'!S149*'Tillegg- Inndata GoF'!U149)))</f>
        <v>0</v>
      </c>
      <c r="V151" s="335">
        <f>IF('Tillegg- Inndata GoF'!G149 = 0, 0,  MAX(-SUM(F151:J151,L151)*'Tillegg- Inndata GoF'!L149, -0.114*IF('Tillegg- Inndata GoF'!H149 &gt; 49, _xlfn.XLOOKUP(49, År_etter_ferdigstillelse, karbon_opptak_faktor), _xlfn.XLOOKUP('Tillegg- Inndata GoF'!H149, År_etter_ferdigstillelse, karbon_opptak_faktor))*'Tillegg- Inndata GoF'!G149*'Tillegg- Inndata GoF'!L149*0.5))</f>
        <v>0</v>
      </c>
      <c r="W151" s="333">
        <f>IF('Tillegg- Inndata GoF'!G149=0,0,IF('Tillegg- Inndata GoF'!H149&gt;49,-0.064*'Tillegg- Inndata GoF'!G149*'Tillegg- Inndata GoF'!N149,-0.037*'Tillegg- Inndata GoF'!J149*'Tillegg- Inndata GoF'!N149))</f>
        <v>0</v>
      </c>
      <c r="X151" s="331" cm="1">
        <f t="array" ref="X151">IF(SUM(F151:J151,L151)=0, 0, SUM(F151:J151,L151)*(1+'Tillegg-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Y151" s="330" cm="1">
        <f t="array" ref="Y151">IF(X151=0, 0, SUM(K151,M151)*(1+'Tillegg-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Z151" s="336" cm="1">
        <f t="array" ref="Z151">IF(X151=0, 0, SUM(N151:P151)*(1+'Tillegg-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AA151" s="336" cm="1">
        <f t="array" ref="AA151">IF(X151=0, 0, ('Tillegg- Inndata GoF'!G149+'Tillegg- Inndata GoF'!O149+'Tillegg- Inndata GoF'!S149)*(1+'Tillegg- Inndata GoF'!K149)*Transport_utslipp_til_avfallshånderting_per_kg*IF('Tillegg- Inndata GoF'!H149&gt;50, 0, _xlfn.XLOOKUP('Tillegg- Inndata GoF'!H149, År_etter_ferdigstillelse, IF(VALUE(LEFT('Tillegg- Inndata GoF'!B149, 2))= 49, f_tid_x_f_tek_d_0_037_kumulativ, f_tid_x_f_tek_d_0_01_kumulativ))))</f>
        <v>0</v>
      </c>
      <c r="AB151" s="334" cm="1">
        <f t="array" ref="AB151">IF(X151=0, 0,1.833*'Tillegg- Inndata GoF'!J149*('Tillegg- Inndata GoF'!X149*_xlfn.XLOOKUP(IF('Tillegg- Inndata GoF'!I149&lt;2,'Tillegg- Inndata GoF'!H149,'Tillegg- Inndata GoF'!H149*2), År_etter_ferdigstillelse, Faktorer!$Z$7:$Z$58))*('Tillegg- Inndata GoF'!L149*0.5+'Tillegg- Inndata GoF'!M149*0.8)*_xlfn.XLOOKUP(IF('Tillegg- Inndata GoF'!I149&lt;2,'Tillegg- Inndata GoF'!H149,'Tillegg- Inndata GoF'!H149*2), År_etter_ferdigstillelse,  IF(LEFT('Tillegg- Inndata GoF'!B149, 2)= 49, f_tid_x_f_tek_d_0_037, f_tid_x_f_tek_d_0_01)))</f>
        <v>0</v>
      </c>
      <c r="AC151" s="335">
        <f>IF(('Tillegg- Inndata GoF'!G149) = 0, 0,(('Tillegg- Inndata GoF'!G149)*((AG151+AI151)*Transport_utslipp_til_avfallshånderting_per_kg)+('Tillegg- Inndata GoF'!Z149*'ZERO-B Beregning'!D251)*IF('ZERO-B Beregning'!F252=0,'ZERO-B Beregning'!D252,'ZERO-B Beregning'!F252))*_xlfn.XLOOKUP(51, År_etter_ferdigstillelse, f_tid_x_f_tek_d_0_01))</f>
        <v>0</v>
      </c>
      <c r="AD151" s="337">
        <f>IF(('Tillegg- Inndata GoF'!G149) = 0, 0,1.833*('Tillegg- Inndata GoF'!G149*('Tillegg- Inndata GoF'!L149*0.5+'Tillegg- Inndata GoF'!M149*0.8)*AG151*_xlfn.XLOOKUP(51, År_etter_ferdigstillelse,  f_tid_x_f_tek_d_0_01)))</f>
        <v>0</v>
      </c>
      <c r="AE151" s="333" cm="1">
        <f t="array" ref="AE151">IF(('Tillegg- Inndata GoF'!G149) = 0, 0,-0.8*('Tillegg- Inndata GoF'!G149)*AH151*('Tillegg- Inndata GoF'!E149/'Tillegg- Inndata GoF'!G149)*_xlfn.XLOOKUP(51, År_etter_ferdigstillelse,  IF(LEFT('Tillegg- Inndata GoF'!B149, 2)= 49, f_tid_x_f_tek_d_0_037, f_tid_x_f_tek_d_0_01)))</f>
        <v>0</v>
      </c>
      <c r="AF151" s="338" cm="1">
        <f t="array" ref="AF151">IF(('Tillegg- Inndata GoF'!G149) = 0, 0,-0.1*('Tillegg- Inndata GoF'!G149)*AI151*('Tillegg- Inndata GoF'!E149/'Tillegg- Inndata GoF'!G149)*_xlfn.XLOOKUP(51, År_etter_ferdigstillelse,  IF(LEFT('Tillegg- Inndata GoF'!B149, 2)= 49, f_tid_x_f_tek_d_0_037, f_tid_x_f_tek_d_0_01)))</f>
        <v>0</v>
      </c>
      <c r="AG151" s="572">
        <f>IF(('Tillegg- Inndata GoF'!G149) = 0, 0,'Tillegg- Inndata GoF'!X149*Faktorer!$Z$58)</f>
        <v>0</v>
      </c>
      <c r="AH151" s="573">
        <f>IF(('Tillegg- Inndata GoF'!G149) = 0, 0,'Tillegg- Inndata GoF'!Z149+('Tillegg- Inndata GoF'!X149+'Tillegg- Inndata GoF'!Y149)*(1-Faktorer!$Z$58)*0.5)</f>
        <v>0</v>
      </c>
      <c r="AI151" s="574">
        <f>IF(('Tillegg- Inndata GoF'!G149) = 0, 0,'Tillegg- Inndata GoF'!AA149+('Tillegg- Inndata GoF'!X149+'Tillegg- Inndata GoF'!Y149)*(1-Faktorer!$Z$58)*0.5)</f>
        <v>0</v>
      </c>
      <c r="AK151" s="90">
        <f t="shared" si="3"/>
        <v>0</v>
      </c>
      <c r="AL151" s="91">
        <f>'Tillegg- Res. detaljert GoF'!N151</f>
        <v>0</v>
      </c>
      <c r="AM151" s="91" t="str">
        <f>IF(F151=0,"",('Tillegg- Inndata GoF'!E151+'Tillegg- Inndata GoF'!F151)*ROUNDDOWN('Tillegg- Inndata GoF'!I151,0)*(1+'Tillegg- Inndata GoF'!K151))</f>
        <v/>
      </c>
    </row>
    <row r="152" spans="2:39">
      <c r="B152" s="327">
        <f>'Tillegg- Inndata GoF'!B150</f>
        <v>0</v>
      </c>
      <c r="C152" s="328">
        <f>'Tillegg- Inndata GoF'!C150</f>
        <v>0</v>
      </c>
      <c r="D152" s="329">
        <f>'Tillegg- Inndata GoF'!D150</f>
        <v>0</v>
      </c>
      <c r="E152" s="661" cm="1">
        <f t="array" ref="E152">SUM(IFERROR(F152:AF152,0))</f>
        <v>0</v>
      </c>
      <c r="F152" s="330">
        <f>'Tillegg- Inndata GoF'!E150</f>
        <v>0</v>
      </c>
      <c r="G152" s="330">
        <f>IF('Tillegg- Inndata GoF'!AB150="Ja", -0.8*'Tillegg- Res. detaljert GoF'!$F152, 0)</f>
        <v>0</v>
      </c>
      <c r="H152" s="330">
        <f>IF('Tillegg- Inndata GoF'!AC150="Ja", -0.4*'Tillegg- Res. detaljert GoF'!$F152, 0)</f>
        <v>0</v>
      </c>
      <c r="I152" s="330">
        <f>IF('Tillegg- Inndata GoF'!AD150="Ja", -1*'Tillegg- Res. detaljert GoF'!$F152, 0)</f>
        <v>0</v>
      </c>
      <c r="J152" s="330">
        <f>'Tillegg- Inndata GoF'!O150*'Tillegg- Inndata GoF'!P150</f>
        <v>0</v>
      </c>
      <c r="K152" s="330">
        <f>MAX(-0.75*(SUM('Tillegg- Res. detaljert GoF'!F152:J152)),-'Tillegg- Inndata GoF'!O150*'Tillegg- Inndata GoF'!Q150)</f>
        <v>0</v>
      </c>
      <c r="L152" s="330">
        <f>'Tillegg- Inndata GoF'!S150*'Tillegg- Inndata GoF'!T150</f>
        <v>0</v>
      </c>
      <c r="M152" s="330">
        <f>MAX(-0.75*(SUM('Tillegg- Res. detaljert GoF'!F152:I152,L152)),-'Tillegg- Inndata GoF'!S150*'Tillegg- Inndata GoF'!U150)</f>
        <v>0</v>
      </c>
      <c r="N152" s="331">
        <f>'Tillegg- Inndata GoF'!F150</f>
        <v>0</v>
      </c>
      <c r="O152" s="330">
        <f>'Tillegg- Inndata GoF'!O150*'Tillegg- Inndata GoF'!R150</f>
        <v>0</v>
      </c>
      <c r="P152" s="332">
        <f>'Tillegg- Inndata GoF'!S150*'Tillegg- Inndata GoF'!V150</f>
        <v>0</v>
      </c>
      <c r="Q152" s="333">
        <f>SUM(F152:J152,L152)*'Tillegg- Inndata GoF'!K150</f>
        <v>0</v>
      </c>
      <c r="R152" s="333">
        <f>(K152+M152)*'Tillegg- Inndata GoF'!K150</f>
        <v>0</v>
      </c>
      <c r="S152" s="333">
        <f>SUM(N152:P152)*'Tillegg- Inndata GoF'!K150</f>
        <v>0</v>
      </c>
      <c r="T152" s="334">
        <f>('Tillegg- Inndata GoF'!G150+'Tillegg- Inndata GoF'!O150+'Tillegg- Inndata GoF'!S150)*'Tillegg- Inndata GoF'!K150*Transport_utslipp_til_avfallshånderting_per_kg</f>
        <v>0</v>
      </c>
      <c r="U152" s="330">
        <f>IF('Tillegg- Inndata GoF'!E150 = 0, 0, 1.833*'Tillegg- Inndata GoF'!X150*'Tillegg- Inndata GoF'!K150*('Tillegg- Inndata GoF'!G150*('Tillegg- Inndata GoF'!L150*0.5+'Tillegg- Inndata GoF'!M150*0.8) + (12/44)*('Tillegg- Inndata GoF'!O150*'Tillegg- Inndata GoF'!Q150+'Tillegg- Inndata GoF'!S150*'Tillegg- Inndata GoF'!U150)))</f>
        <v>0</v>
      </c>
      <c r="V152" s="335">
        <f>IF('Tillegg- Inndata GoF'!G150 = 0, 0,  MAX(-SUM(F152:J152,L152)*'Tillegg- Inndata GoF'!L150, -0.114*IF('Tillegg- Inndata GoF'!H150 &gt; 49, _xlfn.XLOOKUP(49, År_etter_ferdigstillelse, karbon_opptak_faktor), _xlfn.XLOOKUP('Tillegg- Inndata GoF'!H150, År_etter_ferdigstillelse, karbon_opptak_faktor))*'Tillegg- Inndata GoF'!G150*'Tillegg- Inndata GoF'!L150*0.5))</f>
        <v>0</v>
      </c>
      <c r="W152" s="333">
        <f>IF('Tillegg- Inndata GoF'!G150=0,0,IF('Tillegg- Inndata GoF'!H150&gt;49,-0.064*'Tillegg- Inndata GoF'!G150*'Tillegg- Inndata GoF'!N150,-0.037*'Tillegg- Inndata GoF'!J150*'Tillegg- Inndata GoF'!N150))</f>
        <v>0</v>
      </c>
      <c r="X152" s="331" cm="1">
        <f t="array" ref="X152">IF(SUM(F152:J152,L152)=0, 0, SUM(F152:J152,L152)*(1+'Tillegg-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Y152" s="330" cm="1">
        <f t="array" ref="Y152">IF(X152=0, 0, SUM(K152,M152)*(1+'Tillegg-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Z152" s="336" cm="1">
        <f t="array" ref="Z152">IF(X152=0, 0, SUM(N152:P152)*(1+'Tillegg-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AA152" s="336" cm="1">
        <f t="array" ref="AA152">IF(X152=0, 0, ('Tillegg- Inndata GoF'!G150+'Tillegg- Inndata GoF'!O150+'Tillegg- Inndata GoF'!S150)*(1+'Tillegg- Inndata GoF'!K150)*Transport_utslipp_til_avfallshånderting_per_kg*IF('Tillegg- Inndata GoF'!H150&gt;50, 0, _xlfn.XLOOKUP('Tillegg- Inndata GoF'!H150, År_etter_ferdigstillelse, IF(VALUE(LEFT('Tillegg- Inndata GoF'!B150, 2))= 49, f_tid_x_f_tek_d_0_037_kumulativ, f_tid_x_f_tek_d_0_01_kumulativ))))</f>
        <v>0</v>
      </c>
      <c r="AB152" s="334" cm="1">
        <f t="array" ref="AB152">IF(X152=0, 0,1.833*'Tillegg- Inndata GoF'!J150*('Tillegg- Inndata GoF'!X150*_xlfn.XLOOKUP(IF('Tillegg- Inndata GoF'!I150&lt;2,'Tillegg- Inndata GoF'!H150,'Tillegg- Inndata GoF'!H150*2), År_etter_ferdigstillelse, Faktorer!$Z$7:$Z$58))*('Tillegg- Inndata GoF'!L150*0.5+'Tillegg- Inndata GoF'!M150*0.8)*_xlfn.XLOOKUP(IF('Tillegg- Inndata GoF'!I150&lt;2,'Tillegg- Inndata GoF'!H150,'Tillegg- Inndata GoF'!H150*2), År_etter_ferdigstillelse,  IF(LEFT('Tillegg- Inndata GoF'!B150, 2)= 49, f_tid_x_f_tek_d_0_037, f_tid_x_f_tek_d_0_01)))</f>
        <v>0</v>
      </c>
      <c r="AC152" s="335">
        <f>IF(('Tillegg- Inndata GoF'!G150) = 0, 0,(('Tillegg- Inndata GoF'!G150)*((AG152+AI152)*Transport_utslipp_til_avfallshånderting_per_kg)+('Tillegg- Inndata GoF'!Z150*'ZERO-B Beregning'!D252)*IF('ZERO-B Beregning'!F253=0,'ZERO-B Beregning'!D253,'ZERO-B Beregning'!F253))*_xlfn.XLOOKUP(51, År_etter_ferdigstillelse, f_tid_x_f_tek_d_0_01))</f>
        <v>0</v>
      </c>
      <c r="AD152" s="337">
        <f>IF(('Tillegg- Inndata GoF'!G150) = 0, 0,1.833*('Tillegg- Inndata GoF'!G150*('Tillegg- Inndata GoF'!L150*0.5+'Tillegg- Inndata GoF'!M150*0.8)*AG152*_xlfn.XLOOKUP(51, År_etter_ferdigstillelse,  f_tid_x_f_tek_d_0_01)))</f>
        <v>0</v>
      </c>
      <c r="AE152" s="333" cm="1">
        <f t="array" ref="AE152">IF(('Tillegg- Inndata GoF'!G150) = 0, 0,-0.8*('Tillegg- Inndata GoF'!G150)*AH152*('Tillegg- Inndata GoF'!E150/'Tillegg- Inndata GoF'!G150)*_xlfn.XLOOKUP(51, År_etter_ferdigstillelse,  IF(LEFT('Tillegg- Inndata GoF'!B150, 2)= 49, f_tid_x_f_tek_d_0_037, f_tid_x_f_tek_d_0_01)))</f>
        <v>0</v>
      </c>
      <c r="AF152" s="338" cm="1">
        <f t="array" ref="AF152">IF(('Tillegg- Inndata GoF'!G150) = 0, 0,-0.1*('Tillegg- Inndata GoF'!G150)*AI152*('Tillegg- Inndata GoF'!E150/'Tillegg- Inndata GoF'!G150)*_xlfn.XLOOKUP(51, År_etter_ferdigstillelse,  IF(LEFT('Tillegg- Inndata GoF'!B150, 2)= 49, f_tid_x_f_tek_d_0_037, f_tid_x_f_tek_d_0_01)))</f>
        <v>0</v>
      </c>
      <c r="AG152" s="572">
        <f>IF(('Tillegg- Inndata GoF'!G150) = 0, 0,'Tillegg- Inndata GoF'!X150*Faktorer!$Z$58)</f>
        <v>0</v>
      </c>
      <c r="AH152" s="573">
        <f>IF(('Tillegg- Inndata GoF'!G150) = 0, 0,'Tillegg- Inndata GoF'!Z150+('Tillegg- Inndata GoF'!X150+'Tillegg- Inndata GoF'!Y150)*(1-Faktorer!$Z$58)*0.5)</f>
        <v>0</v>
      </c>
      <c r="AI152" s="574">
        <f>IF(('Tillegg- Inndata GoF'!G150) = 0, 0,'Tillegg- Inndata GoF'!AA150+('Tillegg- Inndata GoF'!X150+'Tillegg- Inndata GoF'!Y150)*(1-Faktorer!$Z$58)*0.5)</f>
        <v>0</v>
      </c>
      <c r="AK152" s="90">
        <f t="shared" si="3"/>
        <v>0</v>
      </c>
      <c r="AL152" s="91">
        <f>'Tillegg- Res. detaljert GoF'!N152</f>
        <v>0</v>
      </c>
      <c r="AM152" s="91" t="str">
        <f>IF(F152=0,"",('Tillegg- Inndata GoF'!E152+'Tillegg- Inndata GoF'!F152)*ROUNDDOWN('Tillegg- Inndata GoF'!I152,0)*(1+'Tillegg- Inndata GoF'!K152))</f>
        <v/>
      </c>
    </row>
    <row r="153" spans="2:39">
      <c r="B153" s="327">
        <f>'Tillegg- Inndata GoF'!B151</f>
        <v>0</v>
      </c>
      <c r="C153" s="328">
        <f>'Tillegg- Inndata GoF'!C151</f>
        <v>0</v>
      </c>
      <c r="D153" s="329">
        <f>'Tillegg- Inndata GoF'!D151</f>
        <v>0</v>
      </c>
      <c r="E153" s="661" cm="1">
        <f t="array" ref="E153">SUM(IFERROR(F153:AF153,0))</f>
        <v>0</v>
      </c>
      <c r="F153" s="330">
        <f>'Tillegg- Inndata GoF'!E151</f>
        <v>0</v>
      </c>
      <c r="G153" s="330">
        <f>IF('Tillegg- Inndata GoF'!AB151="Ja", -0.8*'Tillegg- Res. detaljert GoF'!$F153, 0)</f>
        <v>0</v>
      </c>
      <c r="H153" s="330">
        <f>IF('Tillegg- Inndata GoF'!AC151="Ja", -0.4*'Tillegg- Res. detaljert GoF'!$F153, 0)</f>
        <v>0</v>
      </c>
      <c r="I153" s="330">
        <f>IF('Tillegg- Inndata GoF'!AD151="Ja", -1*'Tillegg- Res. detaljert GoF'!$F153, 0)</f>
        <v>0</v>
      </c>
      <c r="J153" s="330">
        <f>'Tillegg- Inndata GoF'!O151*'Tillegg- Inndata GoF'!P151</f>
        <v>0</v>
      </c>
      <c r="K153" s="330">
        <f>MAX(-0.75*(SUM('Tillegg- Res. detaljert GoF'!F153:J153)),-'Tillegg- Inndata GoF'!O151*'Tillegg- Inndata GoF'!Q151)</f>
        <v>0</v>
      </c>
      <c r="L153" s="330">
        <f>'Tillegg- Inndata GoF'!S151*'Tillegg- Inndata GoF'!T151</f>
        <v>0</v>
      </c>
      <c r="M153" s="330">
        <f>MAX(-0.75*(SUM('Tillegg- Res. detaljert GoF'!F153:I153,L153)),-'Tillegg- Inndata GoF'!S151*'Tillegg- Inndata GoF'!U151)</f>
        <v>0</v>
      </c>
      <c r="N153" s="331">
        <f>'Tillegg- Inndata GoF'!F151</f>
        <v>0</v>
      </c>
      <c r="O153" s="330">
        <f>'Tillegg- Inndata GoF'!O151*'Tillegg- Inndata GoF'!R151</f>
        <v>0</v>
      </c>
      <c r="P153" s="332">
        <f>'Tillegg- Inndata GoF'!S151*'Tillegg- Inndata GoF'!V151</f>
        <v>0</v>
      </c>
      <c r="Q153" s="333">
        <f>SUM(F153:J153,L153)*'Tillegg- Inndata GoF'!K151</f>
        <v>0</v>
      </c>
      <c r="R153" s="333">
        <f>(K153+M153)*'Tillegg- Inndata GoF'!K151</f>
        <v>0</v>
      </c>
      <c r="S153" s="333">
        <f>SUM(N153:P153)*'Tillegg- Inndata GoF'!K151</f>
        <v>0</v>
      </c>
      <c r="T153" s="334">
        <f>('Tillegg- Inndata GoF'!G151+'Tillegg- Inndata GoF'!O151+'Tillegg- Inndata GoF'!S151)*'Tillegg- Inndata GoF'!K151*Transport_utslipp_til_avfallshånderting_per_kg</f>
        <v>0</v>
      </c>
      <c r="U153" s="330">
        <f>IF('Tillegg- Inndata GoF'!E151 = 0, 0, 1.833*'Tillegg- Inndata GoF'!X151*'Tillegg- Inndata GoF'!K151*('Tillegg- Inndata GoF'!G151*('Tillegg- Inndata GoF'!L151*0.5+'Tillegg- Inndata GoF'!M151*0.8) + (12/44)*('Tillegg- Inndata GoF'!O151*'Tillegg- Inndata GoF'!Q151+'Tillegg- Inndata GoF'!S151*'Tillegg- Inndata GoF'!U151)))</f>
        <v>0</v>
      </c>
      <c r="V153" s="335">
        <f>IF('Tillegg- Inndata GoF'!G151 = 0, 0,  MAX(-SUM(F153:J153,L153)*'Tillegg- Inndata GoF'!L151, -0.114*IF('Tillegg- Inndata GoF'!H151 &gt; 49, _xlfn.XLOOKUP(49, År_etter_ferdigstillelse, karbon_opptak_faktor), _xlfn.XLOOKUP('Tillegg- Inndata GoF'!H151, År_etter_ferdigstillelse, karbon_opptak_faktor))*'Tillegg- Inndata GoF'!G151*'Tillegg- Inndata GoF'!L151*0.5))</f>
        <v>0</v>
      </c>
      <c r="W153" s="333">
        <f>IF('Tillegg- Inndata GoF'!G151=0,0,IF('Tillegg- Inndata GoF'!H151&gt;49,-0.064*'Tillegg- Inndata GoF'!G151*'Tillegg- Inndata GoF'!N151,-0.037*'Tillegg- Inndata GoF'!J151*'Tillegg- Inndata GoF'!N151))</f>
        <v>0</v>
      </c>
      <c r="X153" s="331" cm="1">
        <f t="array" ref="X153">IF(SUM(F153:J153,L153)=0, 0, SUM(F153:J153,L153)*(1+'Tillegg-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Y153" s="330" cm="1">
        <f t="array" ref="Y153">IF(X153=0, 0, SUM(K153,M153)*(1+'Tillegg-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Z153" s="336" cm="1">
        <f t="array" ref="Z153">IF(X153=0, 0, SUM(N153:P153)*(1+'Tillegg-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AA153" s="336" cm="1">
        <f t="array" ref="AA153">IF(X153=0, 0, ('Tillegg- Inndata GoF'!G151+'Tillegg- Inndata GoF'!O151+'Tillegg- Inndata GoF'!S151)*(1+'Tillegg- Inndata GoF'!K151)*Transport_utslipp_til_avfallshånderting_per_kg*IF('Tillegg- Inndata GoF'!H151&gt;50, 0, _xlfn.XLOOKUP('Tillegg- Inndata GoF'!H151, År_etter_ferdigstillelse, IF(VALUE(LEFT('Tillegg- Inndata GoF'!B151, 2))= 49, f_tid_x_f_tek_d_0_037_kumulativ, f_tid_x_f_tek_d_0_01_kumulativ))))</f>
        <v>0</v>
      </c>
      <c r="AB153" s="334" cm="1">
        <f t="array" ref="AB153">IF(X153=0, 0,1.833*'Tillegg- Inndata GoF'!J151*('Tillegg- Inndata GoF'!X151*_xlfn.XLOOKUP(IF('Tillegg- Inndata GoF'!I151&lt;2,'Tillegg- Inndata GoF'!H151,'Tillegg- Inndata GoF'!H151*2), År_etter_ferdigstillelse, Faktorer!$Z$7:$Z$58))*('Tillegg- Inndata GoF'!L151*0.5+'Tillegg- Inndata GoF'!M151*0.8)*_xlfn.XLOOKUP(IF('Tillegg- Inndata GoF'!I151&lt;2,'Tillegg- Inndata GoF'!H151,'Tillegg- Inndata GoF'!H151*2), År_etter_ferdigstillelse,  IF(LEFT('Tillegg- Inndata GoF'!B151, 2)= 49, f_tid_x_f_tek_d_0_037, f_tid_x_f_tek_d_0_01)))</f>
        <v>0</v>
      </c>
      <c r="AC153" s="335">
        <f>IF(('Tillegg- Inndata GoF'!G151) = 0, 0,(('Tillegg- Inndata GoF'!G151)*((AG153+AI153)*Transport_utslipp_til_avfallshånderting_per_kg)+('Tillegg- Inndata GoF'!Z151*'ZERO-B Beregning'!D253)*IF('ZERO-B Beregning'!F254=0,'ZERO-B Beregning'!D254,'ZERO-B Beregning'!F254))*_xlfn.XLOOKUP(51, År_etter_ferdigstillelse, f_tid_x_f_tek_d_0_01))</f>
        <v>0</v>
      </c>
      <c r="AD153" s="337">
        <f>IF(('Tillegg- Inndata GoF'!G151) = 0, 0,1.833*('Tillegg- Inndata GoF'!G151*('Tillegg- Inndata GoF'!L151*0.5+'Tillegg- Inndata GoF'!M151*0.8)*AG153*_xlfn.XLOOKUP(51, År_etter_ferdigstillelse,  f_tid_x_f_tek_d_0_01)))</f>
        <v>0</v>
      </c>
      <c r="AE153" s="333" cm="1">
        <f t="array" ref="AE153">IF(('Tillegg- Inndata GoF'!G151) = 0, 0,-0.8*('Tillegg- Inndata GoF'!G151)*AH153*('Tillegg- Inndata GoF'!E151/'Tillegg- Inndata GoF'!G151)*_xlfn.XLOOKUP(51, År_etter_ferdigstillelse,  IF(LEFT('Tillegg- Inndata GoF'!B151, 2)= 49, f_tid_x_f_tek_d_0_037, f_tid_x_f_tek_d_0_01)))</f>
        <v>0</v>
      </c>
      <c r="AF153" s="338" cm="1">
        <f t="array" ref="AF153">IF(('Tillegg- Inndata GoF'!G151) = 0, 0,-0.1*('Tillegg- Inndata GoF'!G151)*AI153*('Tillegg- Inndata GoF'!E151/'Tillegg- Inndata GoF'!G151)*_xlfn.XLOOKUP(51, År_etter_ferdigstillelse,  IF(LEFT('Tillegg- Inndata GoF'!B151, 2)= 49, f_tid_x_f_tek_d_0_037, f_tid_x_f_tek_d_0_01)))</f>
        <v>0</v>
      </c>
      <c r="AG153" s="572">
        <f>IF(('Tillegg- Inndata GoF'!G151) = 0, 0,'Tillegg- Inndata GoF'!X151*Faktorer!$Z$58)</f>
        <v>0</v>
      </c>
      <c r="AH153" s="573">
        <f>IF(('Tillegg- Inndata GoF'!G151) = 0, 0,'Tillegg- Inndata GoF'!Z151+('Tillegg- Inndata GoF'!X151+'Tillegg- Inndata GoF'!Y151)*(1-Faktorer!$Z$58)*0.5)</f>
        <v>0</v>
      </c>
      <c r="AI153" s="574">
        <f>IF(('Tillegg- Inndata GoF'!G151) = 0, 0,'Tillegg- Inndata GoF'!AA151+('Tillegg- Inndata GoF'!X151+'Tillegg- Inndata GoF'!Y151)*(1-Faktorer!$Z$58)*0.5)</f>
        <v>0</v>
      </c>
      <c r="AK153" s="90">
        <f t="shared" si="3"/>
        <v>0</v>
      </c>
      <c r="AL153" s="91">
        <f>'Tillegg- Res. detaljert GoF'!N153</f>
        <v>0</v>
      </c>
      <c r="AM153" s="91" t="str">
        <f>IF(F153=0,"",('Tillegg- Inndata GoF'!E153+'Tillegg- Inndata GoF'!F153)*ROUNDDOWN('Tillegg- Inndata GoF'!I153,0)*(1+'Tillegg- Inndata GoF'!K153))</f>
        <v/>
      </c>
    </row>
    <row r="154" spans="2:39">
      <c r="B154" s="327">
        <f>'Tillegg- Inndata GoF'!B152</f>
        <v>0</v>
      </c>
      <c r="C154" s="328">
        <f>'Tillegg- Inndata GoF'!C152</f>
        <v>0</v>
      </c>
      <c r="D154" s="329">
        <f>'Tillegg- Inndata GoF'!D152</f>
        <v>0</v>
      </c>
      <c r="E154" s="661" cm="1">
        <f t="array" ref="E154">SUM(IFERROR(F154:AF154,0))</f>
        <v>0</v>
      </c>
      <c r="F154" s="330">
        <f>'Tillegg- Inndata GoF'!E152</f>
        <v>0</v>
      </c>
      <c r="G154" s="330">
        <f>IF('Tillegg- Inndata GoF'!AB152="Ja", -0.8*'Tillegg- Res. detaljert GoF'!$F154, 0)</f>
        <v>0</v>
      </c>
      <c r="H154" s="330">
        <f>IF('Tillegg- Inndata GoF'!AC152="Ja", -0.4*'Tillegg- Res. detaljert GoF'!$F154, 0)</f>
        <v>0</v>
      </c>
      <c r="I154" s="330">
        <f>IF('Tillegg- Inndata GoF'!AD152="Ja", -1*'Tillegg- Res. detaljert GoF'!$F154, 0)</f>
        <v>0</v>
      </c>
      <c r="J154" s="330">
        <f>'Tillegg- Inndata GoF'!O152*'Tillegg- Inndata GoF'!P152</f>
        <v>0</v>
      </c>
      <c r="K154" s="330">
        <f>MAX(-0.75*(SUM('Tillegg- Res. detaljert GoF'!F154:J154)),-'Tillegg- Inndata GoF'!O152*'Tillegg- Inndata GoF'!Q152)</f>
        <v>0</v>
      </c>
      <c r="L154" s="330">
        <f>'Tillegg- Inndata GoF'!S152*'Tillegg- Inndata GoF'!T152</f>
        <v>0</v>
      </c>
      <c r="M154" s="330">
        <f>MAX(-0.75*(SUM('Tillegg- Res. detaljert GoF'!F154:I154,L154)),-'Tillegg- Inndata GoF'!S152*'Tillegg- Inndata GoF'!U152)</f>
        <v>0</v>
      </c>
      <c r="N154" s="331">
        <f>'Tillegg- Inndata GoF'!F152</f>
        <v>0</v>
      </c>
      <c r="O154" s="330">
        <f>'Tillegg- Inndata GoF'!O152*'Tillegg- Inndata GoF'!R152</f>
        <v>0</v>
      </c>
      <c r="P154" s="332">
        <f>'Tillegg- Inndata GoF'!S152*'Tillegg- Inndata GoF'!V152</f>
        <v>0</v>
      </c>
      <c r="Q154" s="333">
        <f>SUM(F154:J154,L154)*'Tillegg- Inndata GoF'!K152</f>
        <v>0</v>
      </c>
      <c r="R154" s="333">
        <f>(K154+M154)*'Tillegg- Inndata GoF'!K152</f>
        <v>0</v>
      </c>
      <c r="S154" s="333">
        <f>SUM(N154:P154)*'Tillegg- Inndata GoF'!K152</f>
        <v>0</v>
      </c>
      <c r="T154" s="334">
        <f>('Tillegg- Inndata GoF'!G152+'Tillegg- Inndata GoF'!O152+'Tillegg- Inndata GoF'!S152)*'Tillegg- Inndata GoF'!K152*Transport_utslipp_til_avfallshånderting_per_kg</f>
        <v>0</v>
      </c>
      <c r="U154" s="330">
        <f>IF('Tillegg- Inndata GoF'!E152 = 0, 0, 1.833*'Tillegg- Inndata GoF'!X152*'Tillegg- Inndata GoF'!K152*('Tillegg- Inndata GoF'!G152*('Tillegg- Inndata GoF'!L152*0.5+'Tillegg- Inndata GoF'!M152*0.8) + (12/44)*('Tillegg- Inndata GoF'!O152*'Tillegg- Inndata GoF'!Q152+'Tillegg- Inndata GoF'!S152*'Tillegg- Inndata GoF'!U152)))</f>
        <v>0</v>
      </c>
      <c r="V154" s="335">
        <f>IF('Tillegg- Inndata GoF'!G152 = 0, 0,  MAX(-SUM(F154:J154,L154)*'Tillegg- Inndata GoF'!L152, -0.114*IF('Tillegg- Inndata GoF'!H152 &gt; 49, _xlfn.XLOOKUP(49, År_etter_ferdigstillelse, karbon_opptak_faktor), _xlfn.XLOOKUP('Tillegg- Inndata GoF'!H152, År_etter_ferdigstillelse, karbon_opptak_faktor))*'Tillegg- Inndata GoF'!G152*'Tillegg- Inndata GoF'!L152*0.5))</f>
        <v>0</v>
      </c>
      <c r="W154" s="333">
        <f>IF('Tillegg- Inndata GoF'!G152=0,0,IF('Tillegg- Inndata GoF'!H152&gt;49,-0.064*'Tillegg- Inndata GoF'!G152*'Tillegg- Inndata GoF'!N152,-0.037*'Tillegg- Inndata GoF'!J152*'Tillegg- Inndata GoF'!N152))</f>
        <v>0</v>
      </c>
      <c r="X154" s="331" cm="1">
        <f t="array" ref="X154">IF(SUM(F154:J154,L154)=0, 0, SUM(F154:J154,L154)*(1+'Tillegg-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Y154" s="330" cm="1">
        <f t="array" ref="Y154">IF(X154=0, 0, SUM(K154,M154)*(1+'Tillegg-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Z154" s="336" cm="1">
        <f t="array" ref="Z154">IF(X154=0, 0, SUM(N154:P154)*(1+'Tillegg-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AA154" s="336" cm="1">
        <f t="array" ref="AA154">IF(X154=0, 0, ('Tillegg- Inndata GoF'!G152+'Tillegg- Inndata GoF'!O152+'Tillegg- Inndata GoF'!S152)*(1+'Tillegg- Inndata GoF'!K152)*Transport_utslipp_til_avfallshånderting_per_kg*IF('Tillegg- Inndata GoF'!H152&gt;50, 0, _xlfn.XLOOKUP('Tillegg- Inndata GoF'!H152, År_etter_ferdigstillelse, IF(VALUE(LEFT('Tillegg- Inndata GoF'!B152, 2))= 49, f_tid_x_f_tek_d_0_037_kumulativ, f_tid_x_f_tek_d_0_01_kumulativ))))</f>
        <v>0</v>
      </c>
      <c r="AB154" s="334" cm="1">
        <f t="array" ref="AB154">IF(X154=0, 0,1.833*'Tillegg- Inndata GoF'!J152*('Tillegg- Inndata GoF'!X152*_xlfn.XLOOKUP(IF('Tillegg- Inndata GoF'!I152&lt;2,'Tillegg- Inndata GoF'!H152,'Tillegg- Inndata GoF'!H152*2), År_etter_ferdigstillelse, Faktorer!$Z$7:$Z$58))*('Tillegg- Inndata GoF'!L152*0.5+'Tillegg- Inndata GoF'!M152*0.8)*_xlfn.XLOOKUP(IF('Tillegg- Inndata GoF'!I152&lt;2,'Tillegg- Inndata GoF'!H152,'Tillegg- Inndata GoF'!H152*2), År_etter_ferdigstillelse,  IF(LEFT('Tillegg- Inndata GoF'!B152, 2)= 49, f_tid_x_f_tek_d_0_037, f_tid_x_f_tek_d_0_01)))</f>
        <v>0</v>
      </c>
      <c r="AC154" s="335">
        <f>IF(('Tillegg- Inndata GoF'!G152) = 0, 0,(('Tillegg- Inndata GoF'!G152)*((AG154+AI154)*Transport_utslipp_til_avfallshånderting_per_kg)+('Tillegg- Inndata GoF'!Z152*'ZERO-B Beregning'!D254)*IF('ZERO-B Beregning'!F255=0,'ZERO-B Beregning'!D255,'ZERO-B Beregning'!F255))*_xlfn.XLOOKUP(51, År_etter_ferdigstillelse, f_tid_x_f_tek_d_0_01))</f>
        <v>0</v>
      </c>
      <c r="AD154" s="337">
        <f>IF(('Tillegg- Inndata GoF'!G152) = 0, 0,1.833*('Tillegg- Inndata GoF'!G152*('Tillegg- Inndata GoF'!L152*0.5+'Tillegg- Inndata GoF'!M152*0.8)*AG154*_xlfn.XLOOKUP(51, År_etter_ferdigstillelse,  f_tid_x_f_tek_d_0_01)))</f>
        <v>0</v>
      </c>
      <c r="AE154" s="333" cm="1">
        <f t="array" ref="AE154">IF(('Tillegg- Inndata GoF'!G152) = 0, 0,-0.8*('Tillegg- Inndata GoF'!G152)*AH154*('Tillegg- Inndata GoF'!E152/'Tillegg- Inndata GoF'!G152)*_xlfn.XLOOKUP(51, År_etter_ferdigstillelse,  IF(LEFT('Tillegg- Inndata GoF'!B152, 2)= 49, f_tid_x_f_tek_d_0_037, f_tid_x_f_tek_d_0_01)))</f>
        <v>0</v>
      </c>
      <c r="AF154" s="338" cm="1">
        <f t="array" ref="AF154">IF(('Tillegg- Inndata GoF'!G152) = 0, 0,-0.1*('Tillegg- Inndata GoF'!G152)*AI154*('Tillegg- Inndata GoF'!E152/'Tillegg- Inndata GoF'!G152)*_xlfn.XLOOKUP(51, År_etter_ferdigstillelse,  IF(LEFT('Tillegg- Inndata GoF'!B152, 2)= 49, f_tid_x_f_tek_d_0_037, f_tid_x_f_tek_d_0_01)))</f>
        <v>0</v>
      </c>
      <c r="AG154" s="572">
        <f>IF(('Tillegg- Inndata GoF'!G152) = 0, 0,'Tillegg- Inndata GoF'!X152*Faktorer!$Z$58)</f>
        <v>0</v>
      </c>
      <c r="AH154" s="573">
        <f>IF(('Tillegg- Inndata GoF'!G152) = 0, 0,'Tillegg- Inndata GoF'!Z152+('Tillegg- Inndata GoF'!X152+'Tillegg- Inndata GoF'!Y152)*(1-Faktorer!$Z$58)*0.5)</f>
        <v>0</v>
      </c>
      <c r="AI154" s="574">
        <f>IF(('Tillegg- Inndata GoF'!G152) = 0, 0,'Tillegg- Inndata GoF'!AA152+('Tillegg- Inndata GoF'!X152+'Tillegg- Inndata GoF'!Y152)*(1-Faktorer!$Z$58)*0.5)</f>
        <v>0</v>
      </c>
      <c r="AK154" s="90">
        <f t="shared" si="3"/>
        <v>0</v>
      </c>
      <c r="AL154" s="91">
        <f>'Tillegg- Res. detaljert GoF'!N154</f>
        <v>0</v>
      </c>
      <c r="AM154" s="91" t="str">
        <f>IF(F154=0,"",('Tillegg- Inndata GoF'!E154+'Tillegg- Inndata GoF'!F154)*ROUNDDOWN('Tillegg- Inndata GoF'!I154,0)*(1+'Tillegg- Inndata GoF'!K154))</f>
        <v/>
      </c>
    </row>
    <row r="155" spans="2:39">
      <c r="B155" s="327">
        <f>'Tillegg- Inndata GoF'!B153</f>
        <v>0</v>
      </c>
      <c r="C155" s="328">
        <f>'Tillegg- Inndata GoF'!C153</f>
        <v>0</v>
      </c>
      <c r="D155" s="329">
        <f>'Tillegg- Inndata GoF'!D153</f>
        <v>0</v>
      </c>
      <c r="E155" s="661" cm="1">
        <f t="array" ref="E155">SUM(IFERROR(F155:AF155,0))</f>
        <v>0</v>
      </c>
      <c r="F155" s="330">
        <f>'Tillegg- Inndata GoF'!E153</f>
        <v>0</v>
      </c>
      <c r="G155" s="330">
        <f>IF('Tillegg- Inndata GoF'!AB153="Ja", -0.8*'Tillegg- Res. detaljert GoF'!$F155, 0)</f>
        <v>0</v>
      </c>
      <c r="H155" s="330">
        <f>IF('Tillegg- Inndata GoF'!AC153="Ja", -0.4*'Tillegg- Res. detaljert GoF'!$F155, 0)</f>
        <v>0</v>
      </c>
      <c r="I155" s="330">
        <f>IF('Tillegg- Inndata GoF'!AD153="Ja", -1*'Tillegg- Res. detaljert GoF'!$F155, 0)</f>
        <v>0</v>
      </c>
      <c r="J155" s="330">
        <f>'Tillegg- Inndata GoF'!O153*'Tillegg- Inndata GoF'!P153</f>
        <v>0</v>
      </c>
      <c r="K155" s="330">
        <f>MAX(-0.75*(SUM('Tillegg- Res. detaljert GoF'!F155:J155)),-'Tillegg- Inndata GoF'!O153*'Tillegg- Inndata GoF'!Q153)</f>
        <v>0</v>
      </c>
      <c r="L155" s="330">
        <f>'Tillegg- Inndata GoF'!S153*'Tillegg- Inndata GoF'!T153</f>
        <v>0</v>
      </c>
      <c r="M155" s="330">
        <f>MAX(-0.75*(SUM('Tillegg- Res. detaljert GoF'!F155:I155,L155)),-'Tillegg- Inndata GoF'!S153*'Tillegg- Inndata GoF'!U153)</f>
        <v>0</v>
      </c>
      <c r="N155" s="331">
        <f>'Tillegg- Inndata GoF'!F153</f>
        <v>0</v>
      </c>
      <c r="O155" s="330">
        <f>'Tillegg- Inndata GoF'!O153*'Tillegg- Inndata GoF'!R153</f>
        <v>0</v>
      </c>
      <c r="P155" s="332">
        <f>'Tillegg- Inndata GoF'!S153*'Tillegg- Inndata GoF'!V153</f>
        <v>0</v>
      </c>
      <c r="Q155" s="333">
        <f>SUM(F155:J155,L155)*'Tillegg- Inndata GoF'!K153</f>
        <v>0</v>
      </c>
      <c r="R155" s="333">
        <f>(K155+M155)*'Tillegg- Inndata GoF'!K153</f>
        <v>0</v>
      </c>
      <c r="S155" s="333">
        <f>SUM(N155:P155)*'Tillegg- Inndata GoF'!K153</f>
        <v>0</v>
      </c>
      <c r="T155" s="334">
        <f>('Tillegg- Inndata GoF'!G153+'Tillegg- Inndata GoF'!O153+'Tillegg- Inndata GoF'!S153)*'Tillegg- Inndata GoF'!K153*Transport_utslipp_til_avfallshånderting_per_kg</f>
        <v>0</v>
      </c>
      <c r="U155" s="330">
        <f>IF('Tillegg- Inndata GoF'!E153 = 0, 0, 1.833*'Tillegg- Inndata GoF'!X153*'Tillegg- Inndata GoF'!K153*('Tillegg- Inndata GoF'!G153*('Tillegg- Inndata GoF'!L153*0.5+'Tillegg- Inndata GoF'!M153*0.8) + (12/44)*('Tillegg- Inndata GoF'!O153*'Tillegg- Inndata GoF'!Q153+'Tillegg- Inndata GoF'!S153*'Tillegg- Inndata GoF'!U153)))</f>
        <v>0</v>
      </c>
      <c r="V155" s="335">
        <f>IF('Tillegg- Inndata GoF'!G153 = 0, 0,  MAX(-SUM(F155:J155,L155)*'Tillegg- Inndata GoF'!L153, -0.114*IF('Tillegg- Inndata GoF'!H153 &gt; 49, _xlfn.XLOOKUP(49, År_etter_ferdigstillelse, karbon_opptak_faktor), _xlfn.XLOOKUP('Tillegg- Inndata GoF'!H153, År_etter_ferdigstillelse, karbon_opptak_faktor))*'Tillegg- Inndata GoF'!G153*'Tillegg- Inndata GoF'!L153*0.5))</f>
        <v>0</v>
      </c>
      <c r="W155" s="333">
        <f>IF('Tillegg- Inndata GoF'!G153=0,0,IF('Tillegg- Inndata GoF'!H153&gt;49,-0.064*'Tillegg- Inndata GoF'!G153*'Tillegg- Inndata GoF'!N153,-0.037*'Tillegg- Inndata GoF'!J153*'Tillegg- Inndata GoF'!N153))</f>
        <v>0</v>
      </c>
      <c r="X155" s="331" cm="1">
        <f t="array" ref="X155">IF(SUM(F155:J155,L155)=0, 0, SUM(F155:J155,L155)*(1+'Tillegg-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Y155" s="330" cm="1">
        <f t="array" ref="Y155">IF(X155=0, 0, SUM(K155,M155)*(1+'Tillegg-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Z155" s="336" cm="1">
        <f t="array" ref="Z155">IF(X155=0, 0, SUM(N155:P155)*(1+'Tillegg-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AA155" s="336" cm="1">
        <f t="array" ref="AA155">IF(X155=0, 0, ('Tillegg- Inndata GoF'!G153+'Tillegg- Inndata GoF'!O153+'Tillegg- Inndata GoF'!S153)*(1+'Tillegg- Inndata GoF'!K153)*Transport_utslipp_til_avfallshånderting_per_kg*IF('Tillegg- Inndata GoF'!H153&gt;50, 0, _xlfn.XLOOKUP('Tillegg- Inndata GoF'!H153, År_etter_ferdigstillelse, IF(VALUE(LEFT('Tillegg- Inndata GoF'!B153, 2))= 49, f_tid_x_f_tek_d_0_037_kumulativ, f_tid_x_f_tek_d_0_01_kumulativ))))</f>
        <v>0</v>
      </c>
      <c r="AB155" s="334" cm="1">
        <f t="array" ref="AB155">IF(X155=0, 0,1.833*'Tillegg- Inndata GoF'!J153*('Tillegg- Inndata GoF'!X153*_xlfn.XLOOKUP(IF('Tillegg- Inndata GoF'!I153&lt;2,'Tillegg- Inndata GoF'!H153,'Tillegg- Inndata GoF'!H153*2), År_etter_ferdigstillelse, Faktorer!$Z$7:$Z$58))*('Tillegg- Inndata GoF'!L153*0.5+'Tillegg- Inndata GoF'!M153*0.8)*_xlfn.XLOOKUP(IF('Tillegg- Inndata GoF'!I153&lt;2,'Tillegg- Inndata GoF'!H153,'Tillegg- Inndata GoF'!H153*2), År_etter_ferdigstillelse,  IF(LEFT('Tillegg- Inndata GoF'!B153, 2)= 49, f_tid_x_f_tek_d_0_037, f_tid_x_f_tek_d_0_01)))</f>
        <v>0</v>
      </c>
      <c r="AC155" s="335">
        <f>IF(('Tillegg- Inndata GoF'!G153) = 0, 0,(('Tillegg- Inndata GoF'!G153)*((AG155+AI155)*Transport_utslipp_til_avfallshånderting_per_kg)+('Tillegg- Inndata GoF'!Z153*'ZERO-B Beregning'!D255)*IF('ZERO-B Beregning'!F256=0,'ZERO-B Beregning'!D256,'ZERO-B Beregning'!F256))*_xlfn.XLOOKUP(51, År_etter_ferdigstillelse, f_tid_x_f_tek_d_0_01))</f>
        <v>0</v>
      </c>
      <c r="AD155" s="337">
        <f>IF(('Tillegg- Inndata GoF'!G153) = 0, 0,1.833*('Tillegg- Inndata GoF'!G153*('Tillegg- Inndata GoF'!L153*0.5+'Tillegg- Inndata GoF'!M153*0.8)*AG155*_xlfn.XLOOKUP(51, År_etter_ferdigstillelse,  f_tid_x_f_tek_d_0_01)))</f>
        <v>0</v>
      </c>
      <c r="AE155" s="333" cm="1">
        <f t="array" ref="AE155">IF(('Tillegg- Inndata GoF'!G153) = 0, 0,-0.8*('Tillegg- Inndata GoF'!G153)*AH155*('Tillegg- Inndata GoF'!E153/'Tillegg- Inndata GoF'!G153)*_xlfn.XLOOKUP(51, År_etter_ferdigstillelse,  IF(LEFT('Tillegg- Inndata GoF'!B153, 2)= 49, f_tid_x_f_tek_d_0_037, f_tid_x_f_tek_d_0_01)))</f>
        <v>0</v>
      </c>
      <c r="AF155" s="338" cm="1">
        <f t="array" ref="AF155">IF(('Tillegg- Inndata GoF'!G153) = 0, 0,-0.1*('Tillegg- Inndata GoF'!G153)*AI155*('Tillegg- Inndata GoF'!E153/'Tillegg- Inndata GoF'!G153)*_xlfn.XLOOKUP(51, År_etter_ferdigstillelse,  IF(LEFT('Tillegg- Inndata GoF'!B153, 2)= 49, f_tid_x_f_tek_d_0_037, f_tid_x_f_tek_d_0_01)))</f>
        <v>0</v>
      </c>
      <c r="AG155" s="572">
        <f>IF(('Tillegg- Inndata GoF'!G153) = 0, 0,'Tillegg- Inndata GoF'!X153*Faktorer!$Z$58)</f>
        <v>0</v>
      </c>
      <c r="AH155" s="573">
        <f>IF(('Tillegg- Inndata GoF'!G153) = 0, 0,'Tillegg- Inndata GoF'!Z153+('Tillegg- Inndata GoF'!X153+'Tillegg- Inndata GoF'!Y153)*(1-Faktorer!$Z$58)*0.5)</f>
        <v>0</v>
      </c>
      <c r="AI155" s="574">
        <f>IF(('Tillegg- Inndata GoF'!G153) = 0, 0,'Tillegg- Inndata GoF'!AA153+('Tillegg- Inndata GoF'!X153+'Tillegg- Inndata GoF'!Y153)*(1-Faktorer!$Z$58)*0.5)</f>
        <v>0</v>
      </c>
      <c r="AK155" s="90">
        <f t="shared" si="3"/>
        <v>0</v>
      </c>
      <c r="AL155" s="91">
        <f>'Tillegg- Res. detaljert GoF'!N155</f>
        <v>0</v>
      </c>
      <c r="AM155" s="91" t="str">
        <f>IF(F155=0,"",('Tillegg- Inndata GoF'!E155+'Tillegg- Inndata GoF'!F155)*ROUNDDOWN('Tillegg- Inndata GoF'!I155,0)*(1+'Tillegg- Inndata GoF'!K155))</f>
        <v/>
      </c>
    </row>
    <row r="156" spans="2:39">
      <c r="B156" s="327">
        <f>'Tillegg- Inndata GoF'!B154</f>
        <v>0</v>
      </c>
      <c r="C156" s="328">
        <f>'Tillegg- Inndata GoF'!C154</f>
        <v>0</v>
      </c>
      <c r="D156" s="329">
        <f>'Tillegg- Inndata GoF'!D154</f>
        <v>0</v>
      </c>
      <c r="E156" s="661" cm="1">
        <f t="array" ref="E156">SUM(IFERROR(F156:AF156,0))</f>
        <v>0</v>
      </c>
      <c r="F156" s="330">
        <f>'Tillegg- Inndata GoF'!E154</f>
        <v>0</v>
      </c>
      <c r="G156" s="330">
        <f>IF('Tillegg- Inndata GoF'!AB154="Ja", -0.8*'Tillegg- Res. detaljert GoF'!$F156, 0)</f>
        <v>0</v>
      </c>
      <c r="H156" s="330">
        <f>IF('Tillegg- Inndata GoF'!AC154="Ja", -0.4*'Tillegg- Res. detaljert GoF'!$F156, 0)</f>
        <v>0</v>
      </c>
      <c r="I156" s="330">
        <f>IF('Tillegg- Inndata GoF'!AD154="Ja", -1*'Tillegg- Res. detaljert GoF'!$F156, 0)</f>
        <v>0</v>
      </c>
      <c r="J156" s="330">
        <f>'Tillegg- Inndata GoF'!O154*'Tillegg- Inndata GoF'!P154</f>
        <v>0</v>
      </c>
      <c r="K156" s="330">
        <f>MAX(-0.75*(SUM('Tillegg- Res. detaljert GoF'!F156:J156)),-'Tillegg- Inndata GoF'!O154*'Tillegg- Inndata GoF'!Q154)</f>
        <v>0</v>
      </c>
      <c r="L156" s="330">
        <f>'Tillegg- Inndata GoF'!S154*'Tillegg- Inndata GoF'!T154</f>
        <v>0</v>
      </c>
      <c r="M156" s="330">
        <f>MAX(-0.75*(SUM('Tillegg- Res. detaljert GoF'!F156:I156,L156)),-'Tillegg- Inndata GoF'!S154*'Tillegg- Inndata GoF'!U154)</f>
        <v>0</v>
      </c>
      <c r="N156" s="331">
        <f>'Tillegg- Inndata GoF'!F154</f>
        <v>0</v>
      </c>
      <c r="O156" s="330">
        <f>'Tillegg- Inndata GoF'!O154*'Tillegg- Inndata GoF'!R154</f>
        <v>0</v>
      </c>
      <c r="P156" s="332">
        <f>'Tillegg- Inndata GoF'!S154*'Tillegg- Inndata GoF'!V154</f>
        <v>0</v>
      </c>
      <c r="Q156" s="333">
        <f>SUM(F156:J156,L156)*'Tillegg- Inndata GoF'!K154</f>
        <v>0</v>
      </c>
      <c r="R156" s="333">
        <f>(K156+M156)*'Tillegg- Inndata GoF'!K154</f>
        <v>0</v>
      </c>
      <c r="S156" s="333">
        <f>SUM(N156:P156)*'Tillegg- Inndata GoF'!K154</f>
        <v>0</v>
      </c>
      <c r="T156" s="334">
        <f>('Tillegg- Inndata GoF'!G154+'Tillegg- Inndata GoF'!O154+'Tillegg- Inndata GoF'!S154)*'Tillegg- Inndata GoF'!K154*Transport_utslipp_til_avfallshånderting_per_kg</f>
        <v>0</v>
      </c>
      <c r="U156" s="330">
        <f>IF('Tillegg- Inndata GoF'!E154 = 0, 0, 1.833*'Tillegg- Inndata GoF'!X154*'Tillegg- Inndata GoF'!K154*('Tillegg- Inndata GoF'!G154*('Tillegg- Inndata GoF'!L154*0.5+'Tillegg- Inndata GoF'!M154*0.8) + (12/44)*('Tillegg- Inndata GoF'!O154*'Tillegg- Inndata GoF'!Q154+'Tillegg- Inndata GoF'!S154*'Tillegg- Inndata GoF'!U154)))</f>
        <v>0</v>
      </c>
      <c r="V156" s="335">
        <f>IF('Tillegg- Inndata GoF'!G154 = 0, 0,  MAX(-SUM(F156:J156,L156)*'Tillegg- Inndata GoF'!L154, -0.114*IF('Tillegg- Inndata GoF'!H154 &gt; 49, _xlfn.XLOOKUP(49, År_etter_ferdigstillelse, karbon_opptak_faktor), _xlfn.XLOOKUP('Tillegg- Inndata GoF'!H154, År_etter_ferdigstillelse, karbon_opptak_faktor))*'Tillegg- Inndata GoF'!G154*'Tillegg- Inndata GoF'!L154*0.5))</f>
        <v>0</v>
      </c>
      <c r="W156" s="333">
        <f>IF('Tillegg- Inndata GoF'!G154=0,0,IF('Tillegg- Inndata GoF'!H154&gt;49,-0.064*'Tillegg- Inndata GoF'!G154*'Tillegg- Inndata GoF'!N154,-0.037*'Tillegg- Inndata GoF'!J154*'Tillegg- Inndata GoF'!N154))</f>
        <v>0</v>
      </c>
      <c r="X156" s="331" cm="1">
        <f t="array" ref="X156">IF(SUM(F156:J156,L156)=0, 0, SUM(F156:J156,L156)*(1+'Tillegg-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Y156" s="330" cm="1">
        <f t="array" ref="Y156">IF(X156=0, 0, SUM(K156,M156)*(1+'Tillegg-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Z156" s="336" cm="1">
        <f t="array" ref="Z156">IF(X156=0, 0, SUM(N156:P156)*(1+'Tillegg-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AA156" s="336" cm="1">
        <f t="array" ref="AA156">IF(X156=0, 0, ('Tillegg- Inndata GoF'!G154+'Tillegg- Inndata GoF'!O154+'Tillegg- Inndata GoF'!S154)*(1+'Tillegg- Inndata GoF'!K154)*Transport_utslipp_til_avfallshånderting_per_kg*IF('Tillegg- Inndata GoF'!H154&gt;50, 0, _xlfn.XLOOKUP('Tillegg- Inndata GoF'!H154, År_etter_ferdigstillelse, IF(VALUE(LEFT('Tillegg- Inndata GoF'!B154, 2))= 49, f_tid_x_f_tek_d_0_037_kumulativ, f_tid_x_f_tek_d_0_01_kumulativ))))</f>
        <v>0</v>
      </c>
      <c r="AB156" s="334" cm="1">
        <f t="array" ref="AB156">IF(X156=0, 0,1.833*'Tillegg- Inndata GoF'!J154*('Tillegg- Inndata GoF'!X154*_xlfn.XLOOKUP(IF('Tillegg- Inndata GoF'!I154&lt;2,'Tillegg- Inndata GoF'!H154,'Tillegg- Inndata GoF'!H154*2), År_etter_ferdigstillelse, Faktorer!$Z$7:$Z$58))*('Tillegg- Inndata GoF'!L154*0.5+'Tillegg- Inndata GoF'!M154*0.8)*_xlfn.XLOOKUP(IF('Tillegg- Inndata GoF'!I154&lt;2,'Tillegg- Inndata GoF'!H154,'Tillegg- Inndata GoF'!H154*2), År_etter_ferdigstillelse,  IF(LEFT('Tillegg- Inndata GoF'!B154, 2)= 49, f_tid_x_f_tek_d_0_037, f_tid_x_f_tek_d_0_01)))</f>
        <v>0</v>
      </c>
      <c r="AC156" s="335">
        <f>IF(('Tillegg- Inndata GoF'!G154) = 0, 0,(('Tillegg- Inndata GoF'!G154)*((AG156+AI156)*Transport_utslipp_til_avfallshånderting_per_kg)+('Tillegg- Inndata GoF'!Z154*'ZERO-B Beregning'!D256)*IF('ZERO-B Beregning'!F257=0,'ZERO-B Beregning'!D257,'ZERO-B Beregning'!F257))*_xlfn.XLOOKUP(51, År_etter_ferdigstillelse, f_tid_x_f_tek_d_0_01))</f>
        <v>0</v>
      </c>
      <c r="AD156" s="337">
        <f>IF(('Tillegg- Inndata GoF'!G154) = 0, 0,1.833*('Tillegg- Inndata GoF'!G154*('Tillegg- Inndata GoF'!L154*0.5+'Tillegg- Inndata GoF'!M154*0.8)*AG156*_xlfn.XLOOKUP(51, År_etter_ferdigstillelse,  f_tid_x_f_tek_d_0_01)))</f>
        <v>0</v>
      </c>
      <c r="AE156" s="333" cm="1">
        <f t="array" ref="AE156">IF(('Tillegg- Inndata GoF'!G154) = 0, 0,-0.8*('Tillegg- Inndata GoF'!G154)*AH156*('Tillegg- Inndata GoF'!E154/'Tillegg- Inndata GoF'!G154)*_xlfn.XLOOKUP(51, År_etter_ferdigstillelse,  IF(LEFT('Tillegg- Inndata GoF'!B154, 2)= 49, f_tid_x_f_tek_d_0_037, f_tid_x_f_tek_d_0_01)))</f>
        <v>0</v>
      </c>
      <c r="AF156" s="338" cm="1">
        <f t="array" ref="AF156">IF(('Tillegg- Inndata GoF'!G154) = 0, 0,-0.1*('Tillegg- Inndata GoF'!G154)*AI156*('Tillegg- Inndata GoF'!E154/'Tillegg- Inndata GoF'!G154)*_xlfn.XLOOKUP(51, År_etter_ferdigstillelse,  IF(LEFT('Tillegg- Inndata GoF'!B154, 2)= 49, f_tid_x_f_tek_d_0_037, f_tid_x_f_tek_d_0_01)))</f>
        <v>0</v>
      </c>
      <c r="AG156" s="572">
        <f>IF(('Tillegg- Inndata GoF'!G154) = 0, 0,'Tillegg- Inndata GoF'!X154*Faktorer!$Z$58)</f>
        <v>0</v>
      </c>
      <c r="AH156" s="573">
        <f>IF(('Tillegg- Inndata GoF'!G154) = 0, 0,'Tillegg- Inndata GoF'!Z154+('Tillegg- Inndata GoF'!X154+'Tillegg- Inndata GoF'!Y154)*(1-Faktorer!$Z$58)*0.5)</f>
        <v>0</v>
      </c>
      <c r="AI156" s="574">
        <f>IF(('Tillegg- Inndata GoF'!G154) = 0, 0,'Tillegg- Inndata GoF'!AA154+('Tillegg- Inndata GoF'!X154+'Tillegg- Inndata GoF'!Y154)*(1-Faktorer!$Z$58)*0.5)</f>
        <v>0</v>
      </c>
      <c r="AK156" s="90">
        <f t="shared" si="3"/>
        <v>0</v>
      </c>
      <c r="AL156" s="91">
        <f>'Tillegg- Res. detaljert GoF'!N156</f>
        <v>0</v>
      </c>
      <c r="AM156" s="91" t="str">
        <f>IF(F156=0,"",('Tillegg- Inndata GoF'!E156+'Tillegg- Inndata GoF'!F156)*ROUNDDOWN('Tillegg- Inndata GoF'!I156,0)*(1+'Tillegg- Inndata GoF'!K156))</f>
        <v/>
      </c>
    </row>
    <row r="157" spans="2:39">
      <c r="B157" s="327">
        <f>'Tillegg- Inndata GoF'!B155</f>
        <v>0</v>
      </c>
      <c r="C157" s="328">
        <f>'Tillegg- Inndata GoF'!C155</f>
        <v>0</v>
      </c>
      <c r="D157" s="329">
        <f>'Tillegg- Inndata GoF'!D155</f>
        <v>0</v>
      </c>
      <c r="E157" s="661" cm="1">
        <f t="array" ref="E157">SUM(IFERROR(F157:AF157,0))</f>
        <v>0</v>
      </c>
      <c r="F157" s="330">
        <f>'Tillegg- Inndata GoF'!E155</f>
        <v>0</v>
      </c>
      <c r="G157" s="330">
        <f>IF('Tillegg- Inndata GoF'!AB155="Ja", -0.8*'Tillegg- Res. detaljert GoF'!$F157, 0)</f>
        <v>0</v>
      </c>
      <c r="H157" s="330">
        <f>IF('Tillegg- Inndata GoF'!AC155="Ja", -0.4*'Tillegg- Res. detaljert GoF'!$F157, 0)</f>
        <v>0</v>
      </c>
      <c r="I157" s="330">
        <f>IF('Tillegg- Inndata GoF'!AD155="Ja", -1*'Tillegg- Res. detaljert GoF'!$F157, 0)</f>
        <v>0</v>
      </c>
      <c r="J157" s="330">
        <f>'Tillegg- Inndata GoF'!O155*'Tillegg- Inndata GoF'!P155</f>
        <v>0</v>
      </c>
      <c r="K157" s="330">
        <f>MAX(-0.75*(SUM('Tillegg- Res. detaljert GoF'!F157:J157)),-'Tillegg- Inndata GoF'!O155*'Tillegg- Inndata GoF'!Q155)</f>
        <v>0</v>
      </c>
      <c r="L157" s="330">
        <f>'Tillegg- Inndata GoF'!S155*'Tillegg- Inndata GoF'!T155</f>
        <v>0</v>
      </c>
      <c r="M157" s="330">
        <f>MAX(-0.75*(SUM('Tillegg- Res. detaljert GoF'!F157:I157,L157)),-'Tillegg- Inndata GoF'!S155*'Tillegg- Inndata GoF'!U155)</f>
        <v>0</v>
      </c>
      <c r="N157" s="331">
        <f>'Tillegg- Inndata GoF'!F155</f>
        <v>0</v>
      </c>
      <c r="O157" s="330">
        <f>'Tillegg- Inndata GoF'!O155*'Tillegg- Inndata GoF'!R155</f>
        <v>0</v>
      </c>
      <c r="P157" s="332">
        <f>'Tillegg- Inndata GoF'!S155*'Tillegg- Inndata GoF'!V155</f>
        <v>0</v>
      </c>
      <c r="Q157" s="333">
        <f>SUM(F157:J157,L157)*'Tillegg- Inndata GoF'!K155</f>
        <v>0</v>
      </c>
      <c r="R157" s="333">
        <f>(K157+M157)*'Tillegg- Inndata GoF'!K155</f>
        <v>0</v>
      </c>
      <c r="S157" s="333">
        <f>SUM(N157:P157)*'Tillegg- Inndata GoF'!K155</f>
        <v>0</v>
      </c>
      <c r="T157" s="334">
        <f>('Tillegg- Inndata GoF'!G155+'Tillegg- Inndata GoF'!O155+'Tillegg- Inndata GoF'!S155)*'Tillegg- Inndata GoF'!K155*Transport_utslipp_til_avfallshånderting_per_kg</f>
        <v>0</v>
      </c>
      <c r="U157" s="330">
        <f>IF('Tillegg- Inndata GoF'!E155 = 0, 0, 1.833*'Tillegg- Inndata GoF'!X155*'Tillegg- Inndata GoF'!K155*('Tillegg- Inndata GoF'!G155*('Tillegg- Inndata GoF'!L155*0.5+'Tillegg- Inndata GoF'!M155*0.8) + (12/44)*('Tillegg- Inndata GoF'!O155*'Tillegg- Inndata GoF'!Q155+'Tillegg- Inndata GoF'!S155*'Tillegg- Inndata GoF'!U155)))</f>
        <v>0</v>
      </c>
      <c r="V157" s="335">
        <f>IF('Tillegg- Inndata GoF'!G155 = 0, 0,  MAX(-SUM(F157:J157,L157)*'Tillegg- Inndata GoF'!L155, -0.114*IF('Tillegg- Inndata GoF'!H155 &gt; 49, _xlfn.XLOOKUP(49, År_etter_ferdigstillelse, karbon_opptak_faktor), _xlfn.XLOOKUP('Tillegg- Inndata GoF'!H155, År_etter_ferdigstillelse, karbon_opptak_faktor))*'Tillegg- Inndata GoF'!G155*'Tillegg- Inndata GoF'!L155*0.5))</f>
        <v>0</v>
      </c>
      <c r="W157" s="333">
        <f>IF('Tillegg- Inndata GoF'!G155=0,0,IF('Tillegg- Inndata GoF'!H155&gt;49,-0.064*'Tillegg- Inndata GoF'!G155*'Tillegg- Inndata GoF'!N155,-0.037*'Tillegg- Inndata GoF'!J155*'Tillegg- Inndata GoF'!N155))</f>
        <v>0</v>
      </c>
      <c r="X157" s="331" cm="1">
        <f t="array" ref="X157">IF(SUM(F157:J157,L157)=0, 0, SUM(F157:J157,L157)*(1+'Tillegg-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Y157" s="330" cm="1">
        <f t="array" ref="Y157">IF(X157=0, 0, SUM(K157,M157)*(1+'Tillegg-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Z157" s="336" cm="1">
        <f t="array" ref="Z157">IF(X157=0, 0, SUM(N157:P157)*(1+'Tillegg-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AA157" s="336" cm="1">
        <f t="array" ref="AA157">IF(X157=0, 0, ('Tillegg- Inndata GoF'!G155+'Tillegg- Inndata GoF'!O155+'Tillegg- Inndata GoF'!S155)*(1+'Tillegg- Inndata GoF'!K155)*Transport_utslipp_til_avfallshånderting_per_kg*IF('Tillegg- Inndata GoF'!H155&gt;50, 0, _xlfn.XLOOKUP('Tillegg- Inndata GoF'!H155, År_etter_ferdigstillelse, IF(VALUE(LEFT('Tillegg- Inndata GoF'!B155, 2))= 49, f_tid_x_f_tek_d_0_037_kumulativ, f_tid_x_f_tek_d_0_01_kumulativ))))</f>
        <v>0</v>
      </c>
      <c r="AB157" s="334" cm="1">
        <f t="array" ref="AB157">IF(X157=0, 0,1.833*'Tillegg- Inndata GoF'!J155*('Tillegg- Inndata GoF'!X155*_xlfn.XLOOKUP(IF('Tillegg- Inndata GoF'!I155&lt;2,'Tillegg- Inndata GoF'!H155,'Tillegg- Inndata GoF'!H155*2), År_etter_ferdigstillelse, Faktorer!$Z$7:$Z$58))*('Tillegg- Inndata GoF'!L155*0.5+'Tillegg- Inndata GoF'!M155*0.8)*_xlfn.XLOOKUP(IF('Tillegg- Inndata GoF'!I155&lt;2,'Tillegg- Inndata GoF'!H155,'Tillegg- Inndata GoF'!H155*2), År_etter_ferdigstillelse,  IF(LEFT('Tillegg- Inndata GoF'!B155, 2)= 49, f_tid_x_f_tek_d_0_037, f_tid_x_f_tek_d_0_01)))</f>
        <v>0</v>
      </c>
      <c r="AC157" s="335">
        <f>IF(('Tillegg- Inndata GoF'!G155) = 0, 0,(('Tillegg- Inndata GoF'!G155)*((AG157+AI157)*Transport_utslipp_til_avfallshånderting_per_kg)+('Tillegg- Inndata GoF'!Z155*'ZERO-B Beregning'!D257)*IF('ZERO-B Beregning'!F258=0,'ZERO-B Beregning'!D258,'ZERO-B Beregning'!F258))*_xlfn.XLOOKUP(51, År_etter_ferdigstillelse, f_tid_x_f_tek_d_0_01))</f>
        <v>0</v>
      </c>
      <c r="AD157" s="337">
        <f>IF(('Tillegg- Inndata GoF'!G155) = 0, 0,1.833*('Tillegg- Inndata GoF'!G155*('Tillegg- Inndata GoF'!L155*0.5+'Tillegg- Inndata GoF'!M155*0.8)*AG157*_xlfn.XLOOKUP(51, År_etter_ferdigstillelse,  f_tid_x_f_tek_d_0_01)))</f>
        <v>0</v>
      </c>
      <c r="AE157" s="333" cm="1">
        <f t="array" ref="AE157">IF(('Tillegg- Inndata GoF'!G155) = 0, 0,-0.8*('Tillegg- Inndata GoF'!G155)*AH157*('Tillegg- Inndata GoF'!E155/'Tillegg- Inndata GoF'!G155)*_xlfn.XLOOKUP(51, År_etter_ferdigstillelse,  IF(LEFT('Tillegg- Inndata GoF'!B155, 2)= 49, f_tid_x_f_tek_d_0_037, f_tid_x_f_tek_d_0_01)))</f>
        <v>0</v>
      </c>
      <c r="AF157" s="338" cm="1">
        <f t="array" ref="AF157">IF(('Tillegg- Inndata GoF'!G155) = 0, 0,-0.1*('Tillegg- Inndata GoF'!G155)*AI157*('Tillegg- Inndata GoF'!E155/'Tillegg- Inndata GoF'!G155)*_xlfn.XLOOKUP(51, År_etter_ferdigstillelse,  IF(LEFT('Tillegg- Inndata GoF'!B155, 2)= 49, f_tid_x_f_tek_d_0_037, f_tid_x_f_tek_d_0_01)))</f>
        <v>0</v>
      </c>
      <c r="AG157" s="572">
        <f>IF(('Tillegg- Inndata GoF'!G155) = 0, 0,'Tillegg- Inndata GoF'!X155*Faktorer!$Z$58)</f>
        <v>0</v>
      </c>
      <c r="AH157" s="573">
        <f>IF(('Tillegg- Inndata GoF'!G155) = 0, 0,'Tillegg- Inndata GoF'!Z155+('Tillegg- Inndata GoF'!X155+'Tillegg- Inndata GoF'!Y155)*(1-Faktorer!$Z$58)*0.5)</f>
        <v>0</v>
      </c>
      <c r="AI157" s="574">
        <f>IF(('Tillegg- Inndata GoF'!G155) = 0, 0,'Tillegg- Inndata GoF'!AA155+('Tillegg- Inndata GoF'!X155+'Tillegg- Inndata GoF'!Y155)*(1-Faktorer!$Z$58)*0.5)</f>
        <v>0</v>
      </c>
      <c r="AK157" s="90">
        <f t="shared" si="3"/>
        <v>0</v>
      </c>
      <c r="AL157" s="91">
        <f>'Tillegg- Res. detaljert GoF'!N157</f>
        <v>0</v>
      </c>
      <c r="AM157" s="91" t="str">
        <f>IF(F157=0,"",('Tillegg- Inndata GoF'!E157+'Tillegg- Inndata GoF'!F157)*ROUNDDOWN('Tillegg- Inndata GoF'!I157,0)*(1+'Tillegg- Inndata GoF'!K157))</f>
        <v/>
      </c>
    </row>
    <row r="158" spans="2:39">
      <c r="B158" s="327">
        <f>'Tillegg- Inndata GoF'!B156</f>
        <v>0</v>
      </c>
      <c r="C158" s="328">
        <f>'Tillegg- Inndata GoF'!C156</f>
        <v>0</v>
      </c>
      <c r="D158" s="329">
        <f>'Tillegg- Inndata GoF'!D156</f>
        <v>0</v>
      </c>
      <c r="E158" s="661" cm="1">
        <f t="array" ref="E158">SUM(IFERROR(F158:AF158,0))</f>
        <v>0</v>
      </c>
      <c r="F158" s="330">
        <f>'Tillegg- Inndata GoF'!E156</f>
        <v>0</v>
      </c>
      <c r="G158" s="330">
        <f>IF('Tillegg- Inndata GoF'!AB156="Ja", -0.8*'Tillegg- Res. detaljert GoF'!$F158, 0)</f>
        <v>0</v>
      </c>
      <c r="H158" s="330">
        <f>IF('Tillegg- Inndata GoF'!AC156="Ja", -0.4*'Tillegg- Res. detaljert GoF'!$F158, 0)</f>
        <v>0</v>
      </c>
      <c r="I158" s="330">
        <f>IF('Tillegg- Inndata GoF'!AD156="Ja", -1*'Tillegg- Res. detaljert GoF'!$F158, 0)</f>
        <v>0</v>
      </c>
      <c r="J158" s="330">
        <f>'Tillegg- Inndata GoF'!O156*'Tillegg- Inndata GoF'!P156</f>
        <v>0</v>
      </c>
      <c r="K158" s="330">
        <f>MAX(-0.75*(SUM('Tillegg- Res. detaljert GoF'!F158:J158)),-'Tillegg- Inndata GoF'!O156*'Tillegg- Inndata GoF'!Q156)</f>
        <v>0</v>
      </c>
      <c r="L158" s="330">
        <f>'Tillegg- Inndata GoF'!S156*'Tillegg- Inndata GoF'!T156</f>
        <v>0</v>
      </c>
      <c r="M158" s="330">
        <f>MAX(-0.75*(SUM('Tillegg- Res. detaljert GoF'!F158:I158,L158)),-'Tillegg- Inndata GoF'!S156*'Tillegg- Inndata GoF'!U156)</f>
        <v>0</v>
      </c>
      <c r="N158" s="331">
        <f>'Tillegg- Inndata GoF'!F156</f>
        <v>0</v>
      </c>
      <c r="O158" s="330">
        <f>'Tillegg- Inndata GoF'!O156*'Tillegg- Inndata GoF'!R156</f>
        <v>0</v>
      </c>
      <c r="P158" s="332">
        <f>'Tillegg- Inndata GoF'!S156*'Tillegg- Inndata GoF'!V156</f>
        <v>0</v>
      </c>
      <c r="Q158" s="333">
        <f>SUM(F158:J158,L158)*'Tillegg- Inndata GoF'!K156</f>
        <v>0</v>
      </c>
      <c r="R158" s="333">
        <f>(K158+M158)*'Tillegg- Inndata GoF'!K156</f>
        <v>0</v>
      </c>
      <c r="S158" s="333">
        <f>SUM(N158:P158)*'Tillegg- Inndata GoF'!K156</f>
        <v>0</v>
      </c>
      <c r="T158" s="334">
        <f>('Tillegg- Inndata GoF'!G156+'Tillegg- Inndata GoF'!O156+'Tillegg- Inndata GoF'!S156)*'Tillegg- Inndata GoF'!K156*Transport_utslipp_til_avfallshånderting_per_kg</f>
        <v>0</v>
      </c>
      <c r="U158" s="330">
        <f>IF('Tillegg- Inndata GoF'!E156 = 0, 0, 1.833*'Tillegg- Inndata GoF'!X156*'Tillegg- Inndata GoF'!K156*('Tillegg- Inndata GoF'!G156*('Tillegg- Inndata GoF'!L156*0.5+'Tillegg- Inndata GoF'!M156*0.8) + (12/44)*('Tillegg- Inndata GoF'!O156*'Tillegg- Inndata GoF'!Q156+'Tillegg- Inndata GoF'!S156*'Tillegg- Inndata GoF'!U156)))</f>
        <v>0</v>
      </c>
      <c r="V158" s="335">
        <f>IF('Tillegg- Inndata GoF'!G156 = 0, 0,  MAX(-SUM(F158:J158,L158)*'Tillegg- Inndata GoF'!L156, -0.114*IF('Tillegg- Inndata GoF'!H156 &gt; 49, _xlfn.XLOOKUP(49, År_etter_ferdigstillelse, karbon_opptak_faktor), _xlfn.XLOOKUP('Tillegg- Inndata GoF'!H156, År_etter_ferdigstillelse, karbon_opptak_faktor))*'Tillegg- Inndata GoF'!G156*'Tillegg- Inndata GoF'!L156*0.5))</f>
        <v>0</v>
      </c>
      <c r="W158" s="333">
        <f>IF('Tillegg- Inndata GoF'!G156=0,0,IF('Tillegg- Inndata GoF'!H156&gt;49,-0.064*'Tillegg- Inndata GoF'!G156*'Tillegg- Inndata GoF'!N156,-0.037*'Tillegg- Inndata GoF'!J156*'Tillegg- Inndata GoF'!N156))</f>
        <v>0</v>
      </c>
      <c r="X158" s="331" cm="1">
        <f t="array" ref="X158">IF(SUM(F158:J158,L158)=0, 0, SUM(F158:J158,L158)*(1+'Tillegg-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Y158" s="330" cm="1">
        <f t="array" ref="Y158">IF(X158=0, 0, SUM(K158,M158)*(1+'Tillegg-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Z158" s="336" cm="1">
        <f t="array" ref="Z158">IF(X158=0, 0, SUM(N158:P158)*(1+'Tillegg-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AA158" s="336" cm="1">
        <f t="array" ref="AA158">IF(X158=0, 0, ('Tillegg- Inndata GoF'!G156+'Tillegg- Inndata GoF'!O156+'Tillegg- Inndata GoF'!S156)*(1+'Tillegg- Inndata GoF'!K156)*Transport_utslipp_til_avfallshånderting_per_kg*IF('Tillegg- Inndata GoF'!H156&gt;50, 0, _xlfn.XLOOKUP('Tillegg- Inndata GoF'!H156, År_etter_ferdigstillelse, IF(VALUE(LEFT('Tillegg- Inndata GoF'!B156, 2))= 49, f_tid_x_f_tek_d_0_037_kumulativ, f_tid_x_f_tek_d_0_01_kumulativ))))</f>
        <v>0</v>
      </c>
      <c r="AB158" s="334" cm="1">
        <f t="array" ref="AB158">IF(X158=0, 0,1.833*'Tillegg- Inndata GoF'!J156*('Tillegg- Inndata GoF'!X156*_xlfn.XLOOKUP(IF('Tillegg- Inndata GoF'!I156&lt;2,'Tillegg- Inndata GoF'!H156,'Tillegg- Inndata GoF'!H156*2), År_etter_ferdigstillelse, Faktorer!$Z$7:$Z$58))*('Tillegg- Inndata GoF'!L156*0.5+'Tillegg- Inndata GoF'!M156*0.8)*_xlfn.XLOOKUP(IF('Tillegg- Inndata GoF'!I156&lt;2,'Tillegg- Inndata GoF'!H156,'Tillegg- Inndata GoF'!H156*2), År_etter_ferdigstillelse,  IF(LEFT('Tillegg- Inndata GoF'!B156, 2)= 49, f_tid_x_f_tek_d_0_037, f_tid_x_f_tek_d_0_01)))</f>
        <v>0</v>
      </c>
      <c r="AC158" s="335">
        <f>IF(('Tillegg- Inndata GoF'!G156) = 0, 0,(('Tillegg- Inndata GoF'!G156)*((AG158+AI158)*Transport_utslipp_til_avfallshånderting_per_kg)+('Tillegg- Inndata GoF'!Z156*'ZERO-B Beregning'!D258)*IF('ZERO-B Beregning'!F259=0,'ZERO-B Beregning'!D259,'ZERO-B Beregning'!F259))*_xlfn.XLOOKUP(51, År_etter_ferdigstillelse, f_tid_x_f_tek_d_0_01))</f>
        <v>0</v>
      </c>
      <c r="AD158" s="337">
        <f>IF(('Tillegg- Inndata GoF'!G156) = 0, 0,1.833*('Tillegg- Inndata GoF'!G156*('Tillegg- Inndata GoF'!L156*0.5+'Tillegg- Inndata GoF'!M156*0.8)*AG158*_xlfn.XLOOKUP(51, År_etter_ferdigstillelse,  f_tid_x_f_tek_d_0_01)))</f>
        <v>0</v>
      </c>
      <c r="AE158" s="333" cm="1">
        <f t="array" ref="AE158">IF(('Tillegg- Inndata GoF'!G156) = 0, 0,-0.8*('Tillegg- Inndata GoF'!G156)*AH158*('Tillegg- Inndata GoF'!E156/'Tillegg- Inndata GoF'!G156)*_xlfn.XLOOKUP(51, År_etter_ferdigstillelse,  IF(LEFT('Tillegg- Inndata GoF'!B156, 2)= 49, f_tid_x_f_tek_d_0_037, f_tid_x_f_tek_d_0_01)))</f>
        <v>0</v>
      </c>
      <c r="AF158" s="338" cm="1">
        <f t="array" ref="AF158">IF(('Tillegg- Inndata GoF'!G156) = 0, 0,-0.1*('Tillegg- Inndata GoF'!G156)*AI158*('Tillegg- Inndata GoF'!E156/'Tillegg- Inndata GoF'!G156)*_xlfn.XLOOKUP(51, År_etter_ferdigstillelse,  IF(LEFT('Tillegg- Inndata GoF'!B156, 2)= 49, f_tid_x_f_tek_d_0_037, f_tid_x_f_tek_d_0_01)))</f>
        <v>0</v>
      </c>
      <c r="AG158" s="572">
        <f>IF(('Tillegg- Inndata GoF'!G156) = 0, 0,'Tillegg- Inndata GoF'!X156*Faktorer!$Z$58)</f>
        <v>0</v>
      </c>
      <c r="AH158" s="573">
        <f>IF(('Tillegg- Inndata GoF'!G156) = 0, 0,'Tillegg- Inndata GoF'!Z156+('Tillegg- Inndata GoF'!X156+'Tillegg- Inndata GoF'!Y156)*(1-Faktorer!$Z$58)*0.5)</f>
        <v>0</v>
      </c>
      <c r="AI158" s="574">
        <f>IF(('Tillegg- Inndata GoF'!G156) = 0, 0,'Tillegg- Inndata GoF'!AA156+('Tillegg- Inndata GoF'!X156+'Tillegg- Inndata GoF'!Y156)*(1-Faktorer!$Z$58)*0.5)</f>
        <v>0</v>
      </c>
      <c r="AK158" s="90">
        <f t="shared" si="3"/>
        <v>0</v>
      </c>
      <c r="AL158" s="91">
        <f>'Tillegg- Res. detaljert GoF'!N158</f>
        <v>0</v>
      </c>
      <c r="AM158" s="91" t="str">
        <f>IF(F158=0,"",('Tillegg- Inndata GoF'!E158+'Tillegg- Inndata GoF'!F158)*ROUNDDOWN('Tillegg- Inndata GoF'!I158,0)*(1+'Tillegg- Inndata GoF'!K158))</f>
        <v/>
      </c>
    </row>
    <row r="159" spans="2:39">
      <c r="B159" s="327">
        <f>'Tillegg- Inndata GoF'!B157</f>
        <v>0</v>
      </c>
      <c r="C159" s="328">
        <f>'Tillegg- Inndata GoF'!C157</f>
        <v>0</v>
      </c>
      <c r="D159" s="329">
        <f>'Tillegg- Inndata GoF'!D157</f>
        <v>0</v>
      </c>
      <c r="E159" s="661" cm="1">
        <f t="array" ref="E159">SUM(IFERROR(F159:AF159,0))</f>
        <v>0</v>
      </c>
      <c r="F159" s="330">
        <f>'Tillegg- Inndata GoF'!E157</f>
        <v>0</v>
      </c>
      <c r="G159" s="330">
        <f>IF('Tillegg- Inndata GoF'!AB157="Ja", -0.8*'Tillegg- Res. detaljert GoF'!$F159, 0)</f>
        <v>0</v>
      </c>
      <c r="H159" s="330">
        <f>IF('Tillegg- Inndata GoF'!AC157="Ja", -0.4*'Tillegg- Res. detaljert GoF'!$F159, 0)</f>
        <v>0</v>
      </c>
      <c r="I159" s="330">
        <f>IF('Tillegg- Inndata GoF'!AD157="Ja", -1*'Tillegg- Res. detaljert GoF'!$F159, 0)</f>
        <v>0</v>
      </c>
      <c r="J159" s="330">
        <f>'Tillegg- Inndata GoF'!O157*'Tillegg- Inndata GoF'!P157</f>
        <v>0</v>
      </c>
      <c r="K159" s="330">
        <f>MAX(-0.75*(SUM('Tillegg- Res. detaljert GoF'!F159:J159)),-'Tillegg- Inndata GoF'!O157*'Tillegg- Inndata GoF'!Q157)</f>
        <v>0</v>
      </c>
      <c r="L159" s="330">
        <f>'Tillegg- Inndata GoF'!S157*'Tillegg- Inndata GoF'!T157</f>
        <v>0</v>
      </c>
      <c r="M159" s="330">
        <f>MAX(-0.75*(SUM('Tillegg- Res. detaljert GoF'!F159:I159,L159)),-'Tillegg- Inndata GoF'!S157*'Tillegg- Inndata GoF'!U157)</f>
        <v>0</v>
      </c>
      <c r="N159" s="331">
        <f>'Tillegg- Inndata GoF'!F157</f>
        <v>0</v>
      </c>
      <c r="O159" s="330">
        <f>'Tillegg- Inndata GoF'!O157*'Tillegg- Inndata GoF'!R157</f>
        <v>0</v>
      </c>
      <c r="P159" s="332">
        <f>'Tillegg- Inndata GoF'!S157*'Tillegg- Inndata GoF'!V157</f>
        <v>0</v>
      </c>
      <c r="Q159" s="333">
        <f>SUM(F159:J159,L159)*'Tillegg- Inndata GoF'!K157</f>
        <v>0</v>
      </c>
      <c r="R159" s="333">
        <f>(K159+M159)*'Tillegg- Inndata GoF'!K157</f>
        <v>0</v>
      </c>
      <c r="S159" s="333">
        <f>SUM(N159:P159)*'Tillegg- Inndata GoF'!K157</f>
        <v>0</v>
      </c>
      <c r="T159" s="334">
        <f>('Tillegg- Inndata GoF'!G157+'Tillegg- Inndata GoF'!O157+'Tillegg- Inndata GoF'!S157)*'Tillegg- Inndata GoF'!K157*Transport_utslipp_til_avfallshånderting_per_kg</f>
        <v>0</v>
      </c>
      <c r="U159" s="330">
        <f>IF('Tillegg- Inndata GoF'!E157 = 0, 0, 1.833*'Tillegg- Inndata GoF'!X157*'Tillegg- Inndata GoF'!K157*('Tillegg- Inndata GoF'!G157*('Tillegg- Inndata GoF'!L157*0.5+'Tillegg- Inndata GoF'!M157*0.8) + (12/44)*('Tillegg- Inndata GoF'!O157*'Tillegg- Inndata GoF'!Q157+'Tillegg- Inndata GoF'!S157*'Tillegg- Inndata GoF'!U157)))</f>
        <v>0</v>
      </c>
      <c r="V159" s="335">
        <f>IF('Tillegg- Inndata GoF'!G157 = 0, 0,  MAX(-SUM(F159:J159,L159)*'Tillegg- Inndata GoF'!L157, -0.114*IF('Tillegg- Inndata GoF'!H157 &gt; 49, _xlfn.XLOOKUP(49, År_etter_ferdigstillelse, karbon_opptak_faktor), _xlfn.XLOOKUP('Tillegg- Inndata GoF'!H157, År_etter_ferdigstillelse, karbon_opptak_faktor))*'Tillegg- Inndata GoF'!G157*'Tillegg- Inndata GoF'!L157*0.5))</f>
        <v>0</v>
      </c>
      <c r="W159" s="333">
        <f>IF('Tillegg- Inndata GoF'!G157=0,0,IF('Tillegg- Inndata GoF'!H157&gt;49,-0.064*'Tillegg- Inndata GoF'!G157*'Tillegg- Inndata GoF'!N157,-0.037*'Tillegg- Inndata GoF'!J157*'Tillegg- Inndata GoF'!N157))</f>
        <v>0</v>
      </c>
      <c r="X159" s="331" cm="1">
        <f t="array" ref="X159">IF(SUM(F159:J159,L159)=0, 0, SUM(F159:J159,L159)*(1+'Tillegg-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Y159" s="330" cm="1">
        <f t="array" ref="Y159">IF(X159=0, 0, SUM(K159,M159)*(1+'Tillegg-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Z159" s="336" cm="1">
        <f t="array" ref="Z159">IF(X159=0, 0, SUM(N159:P159)*(1+'Tillegg-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AA159" s="336" cm="1">
        <f t="array" ref="AA159">IF(X159=0, 0, ('Tillegg- Inndata GoF'!G157+'Tillegg- Inndata GoF'!O157+'Tillegg- Inndata GoF'!S157)*(1+'Tillegg- Inndata GoF'!K157)*Transport_utslipp_til_avfallshånderting_per_kg*IF('Tillegg- Inndata GoF'!H157&gt;50, 0, _xlfn.XLOOKUP('Tillegg- Inndata GoF'!H157, År_etter_ferdigstillelse, IF(VALUE(LEFT('Tillegg- Inndata GoF'!B157, 2))= 49, f_tid_x_f_tek_d_0_037_kumulativ, f_tid_x_f_tek_d_0_01_kumulativ))))</f>
        <v>0</v>
      </c>
      <c r="AB159" s="334" cm="1">
        <f t="array" ref="AB159">IF(X159=0, 0,1.833*'Tillegg- Inndata GoF'!J157*('Tillegg- Inndata GoF'!X157*_xlfn.XLOOKUP(IF('Tillegg- Inndata GoF'!I157&lt;2,'Tillegg- Inndata GoF'!H157,'Tillegg- Inndata GoF'!H157*2), År_etter_ferdigstillelse, Faktorer!$Z$7:$Z$58))*('Tillegg- Inndata GoF'!L157*0.5+'Tillegg- Inndata GoF'!M157*0.8)*_xlfn.XLOOKUP(IF('Tillegg- Inndata GoF'!I157&lt;2,'Tillegg- Inndata GoF'!H157,'Tillegg- Inndata GoF'!H157*2), År_etter_ferdigstillelse,  IF(LEFT('Tillegg- Inndata GoF'!B157, 2)= 49, f_tid_x_f_tek_d_0_037, f_tid_x_f_tek_d_0_01)))</f>
        <v>0</v>
      </c>
      <c r="AC159" s="335">
        <f>IF(('Tillegg- Inndata GoF'!G157) = 0, 0,(('Tillegg- Inndata GoF'!G157)*((AG159+AI159)*Transport_utslipp_til_avfallshånderting_per_kg)+('Tillegg- Inndata GoF'!Z157*'ZERO-B Beregning'!D259)*IF('ZERO-B Beregning'!F260=0,'ZERO-B Beregning'!D260,'ZERO-B Beregning'!F260))*_xlfn.XLOOKUP(51, År_etter_ferdigstillelse, f_tid_x_f_tek_d_0_01))</f>
        <v>0</v>
      </c>
      <c r="AD159" s="337">
        <f>IF(('Tillegg- Inndata GoF'!G157) = 0, 0,1.833*('Tillegg- Inndata GoF'!G157*('Tillegg- Inndata GoF'!L157*0.5+'Tillegg- Inndata GoF'!M157*0.8)*AG159*_xlfn.XLOOKUP(51, År_etter_ferdigstillelse,  f_tid_x_f_tek_d_0_01)))</f>
        <v>0</v>
      </c>
      <c r="AE159" s="333" cm="1">
        <f t="array" ref="AE159">IF(('Tillegg- Inndata GoF'!G157) = 0, 0,-0.8*('Tillegg- Inndata GoF'!G157)*AH159*('Tillegg- Inndata GoF'!E157/'Tillegg- Inndata GoF'!G157)*_xlfn.XLOOKUP(51, År_etter_ferdigstillelse,  IF(LEFT('Tillegg- Inndata GoF'!B157, 2)= 49, f_tid_x_f_tek_d_0_037, f_tid_x_f_tek_d_0_01)))</f>
        <v>0</v>
      </c>
      <c r="AF159" s="338" cm="1">
        <f t="array" ref="AF159">IF(('Tillegg- Inndata GoF'!G157) = 0, 0,-0.1*('Tillegg- Inndata GoF'!G157)*AI159*('Tillegg- Inndata GoF'!E157/'Tillegg- Inndata GoF'!G157)*_xlfn.XLOOKUP(51, År_etter_ferdigstillelse,  IF(LEFT('Tillegg- Inndata GoF'!B157, 2)= 49, f_tid_x_f_tek_d_0_037, f_tid_x_f_tek_d_0_01)))</f>
        <v>0</v>
      </c>
      <c r="AG159" s="572">
        <f>IF(('Tillegg- Inndata GoF'!G157) = 0, 0,'Tillegg- Inndata GoF'!X157*Faktorer!$Z$58)</f>
        <v>0</v>
      </c>
      <c r="AH159" s="573">
        <f>IF(('Tillegg- Inndata GoF'!G157) = 0, 0,'Tillegg- Inndata GoF'!Z157+('Tillegg- Inndata GoF'!X157+'Tillegg- Inndata GoF'!Y157)*(1-Faktorer!$Z$58)*0.5)</f>
        <v>0</v>
      </c>
      <c r="AI159" s="574">
        <f>IF(('Tillegg- Inndata GoF'!G157) = 0, 0,'Tillegg- Inndata GoF'!AA157+('Tillegg- Inndata GoF'!X157+'Tillegg- Inndata GoF'!Y157)*(1-Faktorer!$Z$58)*0.5)</f>
        <v>0</v>
      </c>
      <c r="AK159" s="90">
        <f t="shared" si="3"/>
        <v>0</v>
      </c>
      <c r="AL159" s="91">
        <f>'Tillegg- Res. detaljert GoF'!N159</f>
        <v>0</v>
      </c>
      <c r="AM159" s="91" t="str">
        <f>IF(F159=0,"",('Tillegg- Inndata GoF'!E159+'Tillegg- Inndata GoF'!F159)*ROUNDDOWN('Tillegg- Inndata GoF'!I159,0)*(1+'Tillegg- Inndata GoF'!K159))</f>
        <v/>
      </c>
    </row>
    <row r="160" spans="2:39">
      <c r="B160" s="662">
        <f>'Tillegg- Inndata GoF'!B158</f>
        <v>0</v>
      </c>
      <c r="C160" s="663">
        <f>'Tillegg- Inndata GoF'!C158</f>
        <v>0</v>
      </c>
      <c r="D160" s="664">
        <f>'Tillegg- Inndata GoF'!D158</f>
        <v>0</v>
      </c>
      <c r="E160" s="665" cm="1">
        <f t="array" ref="E160">SUM(IFERROR(F160:AF160,0))</f>
        <v>0</v>
      </c>
      <c r="F160" s="344">
        <f>'Tillegg- Inndata GoF'!E158</f>
        <v>0</v>
      </c>
      <c r="G160" s="344">
        <f>IF('Tillegg- Inndata GoF'!AB158="Ja", -0.8*'Tillegg- Res. detaljert GoF'!$F160, 0)</f>
        <v>0</v>
      </c>
      <c r="H160" s="344">
        <f>IF('Tillegg- Inndata GoF'!AC158="Ja", -0.4*'Tillegg- Res. detaljert GoF'!$F160, 0)</f>
        <v>0</v>
      </c>
      <c r="I160" s="344">
        <f>IF('Tillegg- Inndata GoF'!AD158="Ja", -1*'Tillegg- Res. detaljert GoF'!$F160, 0)</f>
        <v>0</v>
      </c>
      <c r="J160" s="344">
        <f>'Tillegg- Inndata GoF'!O158*'Tillegg- Inndata GoF'!P158</f>
        <v>0</v>
      </c>
      <c r="K160" s="344">
        <f>MAX(-0.75*(SUM('Tillegg- Res. detaljert GoF'!F160:J160)),-'Tillegg- Inndata GoF'!O158*'Tillegg- Inndata GoF'!Q158)</f>
        <v>0</v>
      </c>
      <c r="L160" s="344">
        <f>'Tillegg- Inndata GoF'!S158*'Tillegg- Inndata GoF'!T158</f>
        <v>0</v>
      </c>
      <c r="M160" s="344">
        <f>MAX(-0.75*(SUM('Tillegg- Res. detaljert GoF'!F160:I160,L160)),-'Tillegg- Inndata GoF'!S158*'Tillegg- Inndata GoF'!U158)</f>
        <v>0</v>
      </c>
      <c r="N160" s="345">
        <f>'Tillegg- Inndata GoF'!F158</f>
        <v>0</v>
      </c>
      <c r="O160" s="344">
        <f>'Tillegg- Inndata GoF'!O158*'Tillegg- Inndata GoF'!R158</f>
        <v>0</v>
      </c>
      <c r="P160" s="666">
        <f>'Tillegg- Inndata GoF'!S158*'Tillegg- Inndata GoF'!V158</f>
        <v>0</v>
      </c>
      <c r="Q160" s="346">
        <f>SUM(F160:J160,L160)*'Tillegg- Inndata GoF'!K158</f>
        <v>0</v>
      </c>
      <c r="R160" s="346">
        <f>(K160+M160)*'Tillegg- Inndata GoF'!K158</f>
        <v>0</v>
      </c>
      <c r="S160" s="346">
        <f>SUM(N160:P160)*'Tillegg- Inndata GoF'!K158</f>
        <v>0</v>
      </c>
      <c r="T160" s="346">
        <f>('Tillegg- Inndata GoF'!G158+'Tillegg- Inndata GoF'!O158+'Tillegg- Inndata GoF'!S158)*'Tillegg- Inndata GoF'!K158*Transport_utslipp_til_avfallshånderting_per_kg</f>
        <v>0</v>
      </c>
      <c r="U160" s="344">
        <f>IF('Tillegg- Inndata GoF'!E158 = 0, 0, 1.833*'Tillegg- Inndata GoF'!X158*'Tillegg- Inndata GoF'!K158*('Tillegg- Inndata GoF'!G158*('Tillegg- Inndata GoF'!L158*0.5+'Tillegg- Inndata GoF'!M158*0.8) + (12/44)*('Tillegg- Inndata GoF'!O158*'Tillegg- Inndata GoF'!Q158+'Tillegg- Inndata GoF'!S158*'Tillegg- Inndata GoF'!U158)))</f>
        <v>0</v>
      </c>
      <c r="V160" s="667">
        <f>IF('Tillegg- Inndata GoF'!G158 = 0, 0,  MAX(-SUM(F160:J160,L160)*'Tillegg- Inndata GoF'!L158, -0.114*IF('Tillegg- Inndata GoF'!H158 &gt; 49, _xlfn.XLOOKUP(49, År_etter_ferdigstillelse, karbon_opptak_faktor), _xlfn.XLOOKUP('Tillegg- Inndata GoF'!H158, År_etter_ferdigstillelse, karbon_opptak_faktor))*'Tillegg- Inndata GoF'!G158*'Tillegg- Inndata GoF'!L158*0.5))</f>
        <v>0</v>
      </c>
      <c r="W160" s="346">
        <f>IF('Tillegg- Inndata GoF'!G158=0,0,IF('Tillegg- Inndata GoF'!H158&gt;49,-0.064*'Tillegg- Inndata GoF'!G158*'Tillegg- Inndata GoF'!N158,-0.037*'Tillegg- Inndata GoF'!J158*'Tillegg- Inndata GoF'!N158))</f>
        <v>0</v>
      </c>
      <c r="X160" s="345" cm="1">
        <f t="array" ref="X160">IF(SUM(F160:J160,L160)=0, 0, SUM(F160:J160,L160)*(1+'Tillegg-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Y160" s="344" cm="1">
        <f t="array" ref="Y160">IF(X160=0, 0, SUM(K160,M160)*(1+'Tillegg-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Z160" s="344" cm="1">
        <f t="array" ref="Z160">IF(X160=0, 0, SUM(N160:P160)*(1+'Tillegg-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AA160" s="344" cm="1">
        <f t="array" ref="AA160">IF(X160=0, 0, ('Tillegg- Inndata GoF'!G158+'Tillegg- Inndata GoF'!O158+'Tillegg- Inndata GoF'!S158)*(1+'Tillegg- Inndata GoF'!K158)*Transport_utslipp_til_avfallshånderting_per_kg*IF('Tillegg- Inndata GoF'!H158&gt;50, 0, _xlfn.XLOOKUP('Tillegg- Inndata GoF'!H158, År_etter_ferdigstillelse, IF(VALUE(LEFT('Tillegg- Inndata GoF'!B158, 2))= 49, f_tid_x_f_tek_d_0_037_kumulativ, f_tid_x_f_tek_d_0_01_kumulativ))))</f>
        <v>0</v>
      </c>
      <c r="AB160" s="346" cm="1">
        <f t="array" ref="AB160">IF(X160=0, 0,1.833*'Tillegg- Inndata GoF'!J158*('Tillegg- Inndata GoF'!X158*_xlfn.XLOOKUP(IF('Tillegg- Inndata GoF'!I158&lt;2,'Tillegg- Inndata GoF'!H158,'Tillegg- Inndata GoF'!H158*2), År_etter_ferdigstillelse, Faktorer!$Z$7:$Z$58))*('Tillegg- Inndata GoF'!L158*0.5+'Tillegg- Inndata GoF'!M158*0.8)*_xlfn.XLOOKUP(IF('Tillegg- Inndata GoF'!I158&lt;2,'Tillegg- Inndata GoF'!H158,'Tillegg- Inndata GoF'!H158*2), År_etter_ferdigstillelse,  IF(LEFT('Tillegg- Inndata GoF'!B158, 2)= 49, f_tid_x_f_tek_d_0_037, f_tid_x_f_tek_d_0_01)))</f>
        <v>0</v>
      </c>
      <c r="AC160" s="667">
        <f>IF(('Tillegg- Inndata GoF'!G158) = 0, 0,(('Tillegg- Inndata GoF'!G158)*((AG160+AI160)*Transport_utslipp_til_avfallshånderting_per_kg)+('Tillegg- Inndata GoF'!Z158*'ZERO-B Beregning'!D260)*IF('ZERO-B Beregning'!F261=0,'ZERO-B Beregning'!D261,'ZERO-B Beregning'!F261))*_xlfn.XLOOKUP(51, År_etter_ferdigstillelse, f_tid_x_f_tek_d_0_01))</f>
        <v>0</v>
      </c>
      <c r="AD160" s="668">
        <f>IF(('Tillegg- Inndata GoF'!G158) = 0, 0,1.833*('Tillegg- Inndata GoF'!G158*('Tillegg- Inndata GoF'!L158*0.5+'Tillegg- Inndata GoF'!M158*0.8)*AG160*_xlfn.XLOOKUP(51, År_etter_ferdigstillelse,  f_tid_x_f_tek_d_0_01)))</f>
        <v>0</v>
      </c>
      <c r="AE160" s="346" cm="1">
        <f t="array" ref="AE160">IF(('Tillegg- Inndata GoF'!G158) = 0, 0,-0.8*('Tillegg- Inndata GoF'!G158)*AH160*('Tillegg- Inndata GoF'!E158/'Tillegg- Inndata GoF'!G158)*_xlfn.XLOOKUP(51, År_etter_ferdigstillelse,  IF(LEFT('Tillegg- Inndata GoF'!B158, 2)= 49, f_tid_x_f_tek_d_0_037, f_tid_x_f_tek_d_0_01)))</f>
        <v>0</v>
      </c>
      <c r="AF160" s="669" cm="1">
        <f t="array" ref="AF160">IF(('Tillegg- Inndata GoF'!G158) = 0, 0,-0.1*('Tillegg- Inndata GoF'!G158)*AI160*('Tillegg- Inndata GoF'!E158/'Tillegg- Inndata GoF'!G158)*_xlfn.XLOOKUP(51, År_etter_ferdigstillelse,  IF(LEFT('Tillegg- Inndata GoF'!B158, 2)= 49, f_tid_x_f_tek_d_0_037, f_tid_x_f_tek_d_0_01)))</f>
        <v>0</v>
      </c>
      <c r="AG160" s="670">
        <f>IF(('Tillegg- Inndata GoF'!G158) = 0, 0,'Tillegg- Inndata GoF'!X158*Faktorer!$Z$58)</f>
        <v>0</v>
      </c>
      <c r="AH160" s="671">
        <f>IF(('Tillegg- Inndata GoF'!G158) = 0, 0,'Tillegg- Inndata GoF'!Z158+('Tillegg- Inndata GoF'!X158+'Tillegg- Inndata GoF'!Y158)*(1-Faktorer!$Z$58)*0.5)</f>
        <v>0</v>
      </c>
      <c r="AI160" s="672">
        <f>IF(('Tillegg- Inndata GoF'!G158) = 0, 0,'Tillegg- Inndata GoF'!AA158+('Tillegg- Inndata GoF'!X158+'Tillegg- Inndata GoF'!Y158)*(1-Faktorer!$Z$58)*0.5)</f>
        <v>0</v>
      </c>
      <c r="AJ160" s="498"/>
      <c r="AK160" s="673">
        <f t="shared" si="3"/>
        <v>0</v>
      </c>
      <c r="AL160" s="674">
        <f>'Tillegg- Res. detaljert GoF'!N160</f>
        <v>0</v>
      </c>
      <c r="AM160" s="674" t="str">
        <f>IF(F160=0,"",('Tillegg- Inndata GoF'!E160+'Tillegg- Inndata GoF'!F160)*ROUNDDOWN('Tillegg- Inndata GoF'!I160,0)*(1+'Tillegg- Inndata GoF'!K160))</f>
        <v/>
      </c>
    </row>
  </sheetData>
  <sheetProtection algorithmName="SHA-512" hashValue="h9pAP094gIPWr/1RNOJ94YOckdkmu2FfUQbFEtdNIH11C5tfnfO0UJax3lOwFw0iGO3+1Rmgh6tdR+b/bgfbGA==" saltValue="F0Yr5c8P4N94XAA3PvHuvA==" spinCount="100000" sheet="1" objects="1" scenarios="1"/>
  <mergeCells count="40">
    <mergeCell ref="AK10:AK13"/>
    <mergeCell ref="AL10:AL13"/>
    <mergeCell ref="AM10:AM13"/>
    <mergeCell ref="Z12:AA12"/>
    <mergeCell ref="AD10:AD11"/>
    <mergeCell ref="Z10:Z11"/>
    <mergeCell ref="AA10:AA11"/>
    <mergeCell ref="AB10:AB11"/>
    <mergeCell ref="AC10:AC11"/>
    <mergeCell ref="AF10:AF11"/>
    <mergeCell ref="AK7:AM7"/>
    <mergeCell ref="B8:C8"/>
    <mergeCell ref="T10:T11"/>
    <mergeCell ref="U10:U11"/>
    <mergeCell ref="V10:V11"/>
    <mergeCell ref="W10:W11"/>
    <mergeCell ref="P10:P11"/>
    <mergeCell ref="Q10:Q11"/>
    <mergeCell ref="R10:R11"/>
    <mergeCell ref="F8:M8"/>
    <mergeCell ref="N8:P8"/>
    <mergeCell ref="Q8:U8"/>
    <mergeCell ref="S10:S11"/>
    <mergeCell ref="B9:D12"/>
    <mergeCell ref="E10:E12"/>
    <mergeCell ref="F10:F11"/>
    <mergeCell ref="AG7:AI7"/>
    <mergeCell ref="AG8:AI8"/>
    <mergeCell ref="AG12:AI12"/>
    <mergeCell ref="E7:E8"/>
    <mergeCell ref="X8:AB8"/>
    <mergeCell ref="AE8:AF8"/>
    <mergeCell ref="V8:W8"/>
    <mergeCell ref="O10:O11"/>
    <mergeCell ref="F7:U7"/>
    <mergeCell ref="V7:AB7"/>
    <mergeCell ref="AC7:AF7"/>
    <mergeCell ref="N10:N11"/>
    <mergeCell ref="Y10:Y11"/>
    <mergeCell ref="X10:X11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6EC8561B693247A205301C4AA5CDE3" ma:contentTypeVersion="20" ma:contentTypeDescription="Opprett et nytt dokument." ma:contentTypeScope="" ma:versionID="db9067029390bed02f27efc41505f9f0">
  <xsd:schema xmlns:xsd="http://www.w3.org/2001/XMLSchema" xmlns:xs="http://www.w3.org/2001/XMLSchema" xmlns:p="http://schemas.microsoft.com/office/2006/metadata/properties" xmlns:ns2="737cb0d7-2b67-4950-802b-d125605fc250" xmlns:ns3="6425d6e2-2d12-4dbe-9b0d-2abb69d74db6" targetNamespace="http://schemas.microsoft.com/office/2006/metadata/properties" ma:root="true" ma:fieldsID="e1945de4ce116dbf22036a9f115fc04e" ns2:_="" ns3:_="">
    <xsd:import namespace="737cb0d7-2b67-4950-802b-d125605fc250"/>
    <xsd:import namespace="6425d6e2-2d12-4dbe-9b0d-2abb69d74d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cb0d7-2b67-4950-802b-d125605fc2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898210-b397-4e92-9435-2f30e2d0131f}" ma:internalName="TaxCatchAll" ma:showField="CatchAllData" ma:web="737cb0d7-2b67-4950-802b-d125605fc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25d6e2-2d12-4dbe-9b0d-2abb69d74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format="DateOnly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57bf6439-6bc2-4a06-bccd-8ca5585f2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6425d6e2-2d12-4dbe-9b0d-2abb69d74db6" xsi:nil="true"/>
    <lcf76f155ced4ddcb4097134ff3c332f xmlns="6425d6e2-2d12-4dbe-9b0d-2abb69d74db6">
      <Terms xmlns="http://schemas.microsoft.com/office/infopath/2007/PartnerControls"/>
    </lcf76f155ced4ddcb4097134ff3c332f>
    <TaxCatchAll xmlns="737cb0d7-2b67-4950-802b-d125605fc250" xsi:nil="true"/>
  </documentManagement>
</p:properties>
</file>

<file path=customXml/itemProps1.xml><?xml version="1.0" encoding="utf-8"?>
<ds:datastoreItem xmlns:ds="http://schemas.openxmlformats.org/officeDocument/2006/customXml" ds:itemID="{3E94F442-EF16-40E5-8FBF-C848CBA84266}"/>
</file>

<file path=customXml/itemProps2.xml><?xml version="1.0" encoding="utf-8"?>
<ds:datastoreItem xmlns:ds="http://schemas.openxmlformats.org/officeDocument/2006/customXml" ds:itemID="{95D302AC-9970-45A6-9563-838E6E40795C}"/>
</file>

<file path=customXml/itemProps3.xml><?xml version="1.0" encoding="utf-8"?>
<ds:datastoreItem xmlns:ds="http://schemas.openxmlformats.org/officeDocument/2006/customXml" ds:itemID="{FA665146-41C6-47C3-B9C4-2C069FC090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NTNU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Eirik Resch</dc:creator>
  <cp:keywords/>
  <dc:description/>
  <cp:lastModifiedBy/>
  <cp:revision/>
  <dcterms:created xsi:type="dcterms:W3CDTF">2020-11-04T09:25:14Z</dcterms:created>
  <dcterms:modified xsi:type="dcterms:W3CDTF">2025-12-22T08:57:31Z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0x010100596EC8561B693247A205301C4AA5CDE3</vt:lpwstr>
  </property>
  <property fmtid="{D5CDD505-2E9C-101B-9397-08002B2CF9AE}" pid="3" name="MediaServiceImageTags">
    <vt:lpwstr/>
  </property>
  <property fmtid="{D5CDD505-2E9C-101B-9397-08002B2CF9AE}" pid="4" name="MSIP_Label_20ea7001-5c24-4702-a3ac-e436ccb02747_Enabled">
    <vt:lpwstr>true</vt:lpwstr>
  </property>
  <property fmtid="{D5CDD505-2E9C-101B-9397-08002B2CF9AE}" pid="5" name="MSIP_Label_20ea7001-5c24-4702-a3ac-e436ccb02747_SetDate">
    <vt:lpwstr>2024-03-22T06:22:50Z</vt:lpwstr>
  </property>
  <property fmtid="{D5CDD505-2E9C-101B-9397-08002B2CF9AE}" pid="6" name="MSIP_Label_20ea7001-5c24-4702-a3ac-e436ccb02747_Method">
    <vt:lpwstr>Standard</vt:lpwstr>
  </property>
  <property fmtid="{D5CDD505-2E9C-101B-9397-08002B2CF9AE}" pid="7" name="MSIP_Label_20ea7001-5c24-4702-a3ac-e436ccb02747_Name">
    <vt:lpwstr>Confidential</vt:lpwstr>
  </property>
  <property fmtid="{D5CDD505-2E9C-101B-9397-08002B2CF9AE}" pid="8" name="MSIP_Label_20ea7001-5c24-4702-a3ac-e436ccb02747_SiteId">
    <vt:lpwstr>c8823c91-be81-4f89-b024-6c3dd789c106</vt:lpwstr>
  </property>
  <property fmtid="{D5CDD505-2E9C-101B-9397-08002B2CF9AE}" pid="9" name="MSIP_Label_20ea7001-5c24-4702-a3ac-e436ccb02747_ActionId">
    <vt:lpwstr>6a6b6e00-9444-4406-887c-7a79e0055bfe</vt:lpwstr>
  </property>
  <property fmtid="{D5CDD505-2E9C-101B-9397-08002B2CF9AE}" pid="10" name="MSIP_Label_20ea7001-5c24-4702-a3ac-e436ccb02747_ContentBits">
    <vt:lpwstr>2</vt:lpwstr>
  </property>
</Properties>
</file>